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intmoro/Desktop/"/>
    </mc:Choice>
  </mc:AlternateContent>
  <xr:revisionPtr revIDLastSave="0" documentId="13_ncr:1_{EC399E86-CB31-A74B-8A7B-C57A8E05045F}" xr6:coauthVersionLast="47" xr6:coauthVersionMax="47" xr10:uidLastSave="{00000000-0000-0000-0000-000000000000}"/>
  <bookViews>
    <workbookView xWindow="2300" yWindow="500" windowWidth="26820" windowHeight="16260" firstSheet="50" activeTab="62" xr2:uid="{00000000-000D-0000-FFFF-FFFF00000000}"/>
  </bookViews>
  <sheets>
    <sheet name="Albania" sheetId="36" r:id="rId1"/>
    <sheet name="Andorra" sheetId="19" r:id="rId2"/>
    <sheet name="Armenia II" sheetId="85" r:id="rId3"/>
    <sheet name="Austria I" sheetId="43" r:id="rId4"/>
    <sheet name="Austria II" sheetId="52" r:id="rId5"/>
    <sheet name="Belgium" sheetId="53" r:id="rId6"/>
    <sheet name="Bulgaria" sheetId="27" r:id="rId7"/>
    <sheet name="Croatia" sheetId="29" r:id="rId8"/>
    <sheet name="Cyprus" sheetId="10" r:id="rId9"/>
    <sheet name="Czechoslovakia I" sheetId="68" r:id="rId10"/>
    <sheet name="Czechoslovakia II" sheetId="86" r:id="rId11"/>
    <sheet name="Czechia" sheetId="13" r:id="rId12"/>
    <sheet name="Denmark" sheetId="54" r:id="rId13"/>
    <sheet name="Estonia I" sheetId="44" r:id="rId14"/>
    <sheet name="Estonia II" sheetId="28" r:id="rId15"/>
    <sheet name="Finland I" sheetId="45" r:id="rId16"/>
    <sheet name="Finland II" sheetId="56" r:id="rId17"/>
    <sheet name="France I" sheetId="84" r:id="rId18"/>
    <sheet name="France II" sheetId="77" r:id="rId19"/>
    <sheet name="France III" sheetId="57" r:id="rId20"/>
    <sheet name="France IV" sheetId="70" r:id="rId21"/>
    <sheet name="Georgia" sheetId="32" r:id="rId22"/>
    <sheet name="Germany I" sheetId="51" r:id="rId23"/>
    <sheet name="Germany II" sheetId="58" r:id="rId24"/>
    <sheet name="Greece II" sheetId="73" r:id="rId25"/>
    <sheet name="Greece III" sheetId="83" r:id="rId26"/>
    <sheet name="Greece IV" sheetId="7" r:id="rId27"/>
    <sheet name="Hungary" sheetId="12" r:id="rId28"/>
    <sheet name="Iceland" sheetId="16" r:id="rId29"/>
    <sheet name="Ireland" sheetId="59" r:id="rId30"/>
    <sheet name="Italy" sheetId="64" r:id="rId31"/>
    <sheet name="Kosovo" sheetId="31" r:id="rId32"/>
    <sheet name="Latvia I" sheetId="69" r:id="rId33"/>
    <sheet name="Latvia II" sheetId="37" r:id="rId34"/>
    <sheet name="Liechtenstein" sheetId="18" r:id="rId35"/>
    <sheet name="Lithuania" sheetId="30" r:id="rId36"/>
    <sheet name="Luxembourg" sheetId="25" r:id="rId37"/>
    <sheet name="Malta" sheetId="3" r:id="rId38"/>
    <sheet name="Moldova" sheetId="39" r:id="rId39"/>
    <sheet name="Montenegro" sheetId="24" r:id="rId40"/>
    <sheet name="Netherlands" sheetId="61" r:id="rId41"/>
    <sheet name="North Macedonia" sheetId="40" r:id="rId42"/>
    <sheet name="Norway" sheetId="60" r:id="rId43"/>
    <sheet name="Poland I" sheetId="82" r:id="rId44"/>
    <sheet name="Poland II" sheetId="15" r:id="rId45"/>
    <sheet name="Portugal II" sheetId="4" r:id="rId46"/>
    <sheet name="Romania" sheetId="38" r:id="rId47"/>
    <sheet name="Russia" sheetId="42" r:id="rId48"/>
    <sheet name="San Marino I" sheetId="74" r:id="rId49"/>
    <sheet name="San Marino II" sheetId="20" r:id="rId50"/>
    <sheet name="Serbia" sheetId="41" r:id="rId51"/>
    <sheet name="Slovakia" sheetId="14" r:id="rId52"/>
    <sheet name="Slovenia" sheetId="33" r:id="rId53"/>
    <sheet name="Spain II" sheetId="72" r:id="rId54"/>
    <sheet name="Spain III" sheetId="2" r:id="rId55"/>
    <sheet name="Sweden" sheetId="62" r:id="rId56"/>
    <sheet name="Switzerland" sheetId="63" r:id="rId57"/>
    <sheet name="Turkey I" sheetId="48" r:id="rId58"/>
    <sheet name="Turkey II" sheetId="49" r:id="rId59"/>
    <sheet name="Turkey III" sheetId="66" r:id="rId60"/>
    <sheet name="Ukraine" sheetId="34" r:id="rId61"/>
    <sheet name="United Kingdom" sheetId="65" r:id="rId62"/>
    <sheet name="Yugoslav K." sheetId="81" r:id="rId6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9" i="70" l="1"/>
  <c r="AE18" i="70"/>
  <c r="AE16" i="70"/>
  <c r="AE10" i="70"/>
  <c r="AE2" i="70"/>
  <c r="AE15" i="70"/>
  <c r="AE13" i="70"/>
  <c r="AE17" i="70" l="1"/>
  <c r="AE20" i="70" s="1"/>
  <c r="AE12" i="70"/>
  <c r="AE4" i="70"/>
  <c r="AE3" i="70"/>
  <c r="AI43" i="27"/>
  <c r="AI40" i="27"/>
  <c r="AI38" i="27"/>
  <c r="AI34" i="27"/>
  <c r="AH13" i="27"/>
  <c r="AI32" i="27"/>
  <c r="AI28" i="27"/>
  <c r="AI27" i="27"/>
  <c r="AI26" i="27"/>
  <c r="AI23" i="27"/>
  <c r="AI19" i="27"/>
  <c r="AI11" i="27"/>
  <c r="AI4" i="27"/>
  <c r="AI3" i="27"/>
  <c r="AH25" i="27" l="1"/>
  <c r="AH33" i="27" l="1"/>
  <c r="AH32" i="27"/>
  <c r="AH27" i="27"/>
  <c r="AH28" i="27"/>
  <c r="AH26" i="27"/>
  <c r="AH20" i="27"/>
  <c r="AH19" i="27"/>
  <c r="AH11" i="27"/>
  <c r="AH4" i="27"/>
  <c r="AH3" i="27"/>
  <c r="AG25" i="27"/>
  <c r="Y11" i="40"/>
  <c r="Y9" i="40"/>
  <c r="Y3" i="40"/>
  <c r="Y2" i="40"/>
  <c r="U38" i="30"/>
  <c r="U35" i="30"/>
  <c r="U33" i="30"/>
  <c r="U29" i="30"/>
  <c r="U28" i="30"/>
  <c r="U24" i="30"/>
  <c r="U27" i="30"/>
  <c r="U21" i="30"/>
  <c r="U19" i="30"/>
  <c r="U17" i="30"/>
  <c r="U16" i="30"/>
  <c r="U11" i="30"/>
  <c r="U3" i="30"/>
  <c r="BL23" i="53"/>
  <c r="BL22" i="53"/>
  <c r="BL20" i="53"/>
  <c r="BL19" i="53"/>
  <c r="BL18" i="53"/>
  <c r="BL17" i="53"/>
  <c r="BL15" i="53"/>
  <c r="BL14" i="53"/>
  <c r="BL11" i="53"/>
  <c r="BL3" i="53"/>
  <c r="BL4" i="53"/>
  <c r="BL2" i="53"/>
  <c r="BL31" i="53"/>
  <c r="AP38" i="20"/>
  <c r="AP35" i="20"/>
  <c r="AP33" i="20"/>
  <c r="AP29" i="20"/>
  <c r="AP26" i="20"/>
  <c r="AP22" i="20"/>
  <c r="AP19" i="20"/>
  <c r="AP16" i="20"/>
  <c r="AP15" i="20"/>
  <c r="AP2" i="20"/>
  <c r="AH34" i="27" l="1"/>
  <c r="Y21" i="40"/>
  <c r="BL25" i="53"/>
  <c r="BL29" i="53" s="1"/>
  <c r="BL34" i="53" s="1"/>
  <c r="R30" i="38"/>
  <c r="R27" i="38"/>
  <c r="R25" i="38"/>
  <c r="R21" i="38"/>
  <c r="R19" i="38"/>
  <c r="R17" i="38"/>
  <c r="R11" i="38"/>
  <c r="R6" i="38"/>
  <c r="R2" i="38"/>
  <c r="Q19" i="38"/>
  <c r="AH10" i="4" l="1"/>
  <c r="AI10" i="4"/>
  <c r="AJ9" i="4"/>
  <c r="AJ8" i="4"/>
  <c r="AJ7" i="4"/>
  <c r="AJ6" i="4"/>
  <c r="AJ3" i="4"/>
  <c r="AJ5" i="4"/>
  <c r="AJ2" i="4"/>
  <c r="AJ12" i="4" s="1"/>
  <c r="AJ10" i="4"/>
  <c r="S25" i="29"/>
  <c r="S22" i="29"/>
  <c r="S20" i="29"/>
  <c r="S16" i="29"/>
  <c r="S15" i="29"/>
  <c r="S7" i="29"/>
  <c r="S6" i="29"/>
  <c r="S5" i="29"/>
  <c r="S3" i="29"/>
  <c r="S10" i="29"/>
  <c r="S2" i="29"/>
  <c r="AY10" i="52" l="1"/>
  <c r="AY7" i="52"/>
  <c r="AY6" i="52"/>
  <c r="AY3" i="52"/>
  <c r="AY4" i="52"/>
  <c r="AY2" i="52"/>
  <c r="AY20" i="52" l="1"/>
  <c r="AY14" i="52"/>
  <c r="AY18" i="52" s="1"/>
  <c r="AY23" i="52" s="1"/>
  <c r="BI7" i="65"/>
  <c r="BI20" i="65"/>
  <c r="BI18" i="65"/>
  <c r="BI23" i="65" s="1"/>
  <c r="BI14" i="65"/>
  <c r="BI13" i="65"/>
  <c r="BH13" i="65"/>
  <c r="BI12" i="65"/>
  <c r="BI9" i="65"/>
  <c r="BI8" i="65"/>
  <c r="BI3" i="65"/>
  <c r="BI2" i="65"/>
  <c r="BM28" i="59"/>
  <c r="BM25" i="59"/>
  <c r="BM23" i="59"/>
  <c r="BM19" i="59"/>
  <c r="BM17" i="59"/>
  <c r="BM16" i="59"/>
  <c r="BM12" i="59"/>
  <c r="BM11" i="59"/>
  <c r="BM8" i="59"/>
  <c r="BM5" i="59"/>
  <c r="BM3" i="59"/>
  <c r="BC36" i="16"/>
  <c r="BC33" i="16"/>
  <c r="BC31" i="16"/>
  <c r="BC27" i="16"/>
  <c r="BC25" i="16"/>
  <c r="BC24" i="16"/>
  <c r="BC22" i="16"/>
  <c r="BC21" i="16"/>
  <c r="BC19" i="16"/>
  <c r="BC17" i="16"/>
  <c r="BC14" i="16"/>
  <c r="BC3" i="16"/>
  <c r="BC2" i="16"/>
  <c r="W31" i="41"/>
  <c r="W28" i="41"/>
  <c r="W26" i="41"/>
  <c r="W22" i="41"/>
  <c r="W21" i="41"/>
  <c r="W19" i="41"/>
  <c r="W12" i="41"/>
  <c r="W9" i="41"/>
  <c r="W8" i="41"/>
  <c r="W3" i="41"/>
  <c r="W4" i="41"/>
  <c r="W2" i="41"/>
  <c r="AP32" i="7" l="1"/>
  <c r="AQ32" i="7"/>
  <c r="AP29" i="7"/>
  <c r="AQ29" i="7" s="1"/>
  <c r="AP27" i="7"/>
  <c r="AQ27" i="7" s="1"/>
  <c r="AP23" i="7"/>
  <c r="AQ23" i="7"/>
  <c r="AQ21" i="7"/>
  <c r="AP21" i="7"/>
  <c r="AQ14" i="7"/>
  <c r="AP14" i="7"/>
  <c r="AQ12" i="7"/>
  <c r="AP12" i="7"/>
  <c r="AQ11" i="7"/>
  <c r="AP11" i="7"/>
  <c r="AQ10" i="7"/>
  <c r="AP10" i="7"/>
  <c r="AQ3" i="7"/>
  <c r="AQ4" i="7"/>
  <c r="AQ2" i="7"/>
  <c r="AP3" i="7"/>
  <c r="AP4" i="7"/>
  <c r="AP2" i="7"/>
  <c r="BK30" i="61" l="1"/>
  <c r="BK29" i="61"/>
  <c r="BK28" i="61"/>
  <c r="BK27" i="61"/>
  <c r="BK24" i="61"/>
  <c r="BK22" i="61"/>
  <c r="BK16" i="61"/>
  <c r="BK13" i="61"/>
  <c r="BK10" i="61"/>
  <c r="BK8" i="61"/>
  <c r="BK21" i="61"/>
  <c r="BK37" i="61"/>
  <c r="BJ30" i="61"/>
  <c r="N13" i="24"/>
  <c r="N20" i="24"/>
  <c r="N18" i="24"/>
  <c r="N23" i="24" s="1"/>
  <c r="N14" i="24"/>
  <c r="J14" i="24"/>
  <c r="K14" i="24"/>
  <c r="L14" i="24"/>
  <c r="M14" i="24"/>
  <c r="N12" i="24"/>
  <c r="N9" i="24"/>
  <c r="N5" i="24"/>
  <c r="N6" i="24"/>
  <c r="N3" i="24"/>
  <c r="N2" i="24"/>
  <c r="W39" i="15"/>
  <c r="W36" i="15"/>
  <c r="W33" i="15"/>
  <c r="W29" i="15"/>
  <c r="W26" i="15"/>
  <c r="W25" i="15"/>
  <c r="W13" i="15"/>
  <c r="W3" i="15"/>
  <c r="AG22" i="2"/>
  <c r="AG19" i="2"/>
  <c r="AG17" i="2"/>
  <c r="AG13" i="2"/>
  <c r="AG11" i="2"/>
  <c r="AG8" i="2"/>
  <c r="AG3" i="2"/>
  <c r="AG4" i="2"/>
  <c r="AG2" i="2"/>
  <c r="BW29" i="63"/>
  <c r="BW26" i="63"/>
  <c r="BW24" i="63"/>
  <c r="BW16" i="63"/>
  <c r="BW18" i="63"/>
  <c r="BW14" i="63"/>
  <c r="BW12" i="63"/>
  <c r="BW11" i="63"/>
  <c r="BW20" i="63" s="1"/>
  <c r="BW10" i="63"/>
  <c r="BW3" i="63"/>
  <c r="W43" i="14"/>
  <c r="W40" i="14"/>
  <c r="W38" i="14"/>
  <c r="W34" i="14"/>
  <c r="W33" i="14"/>
  <c r="W32" i="14"/>
  <c r="W31" i="14"/>
  <c r="W21" i="14"/>
  <c r="W17" i="14"/>
  <c r="W16" i="14"/>
  <c r="W8" i="14"/>
  <c r="W7" i="14"/>
  <c r="W6" i="14"/>
  <c r="W5" i="14"/>
  <c r="W4" i="14"/>
  <c r="BK31" i="61" l="1"/>
  <c r="BK35" i="61" s="1"/>
  <c r="BK40" i="61" s="1"/>
  <c r="AM32" i="25"/>
  <c r="AM29" i="25"/>
  <c r="AM27" i="25"/>
  <c r="AM23" i="25"/>
  <c r="AM17" i="25"/>
  <c r="AM16" i="25"/>
  <c r="AM15" i="25"/>
  <c r="AM11" i="25"/>
  <c r="AM6" i="25"/>
  <c r="AM4" i="25"/>
  <c r="AM3" i="25"/>
  <c r="AM2" i="25"/>
  <c r="AU26" i="56"/>
  <c r="AU16" i="56"/>
  <c r="AU15" i="56"/>
  <c r="AU13" i="56"/>
  <c r="AU10" i="56"/>
  <c r="AU4" i="56"/>
  <c r="AU17" i="56" s="1"/>
  <c r="AU21" i="56" s="1"/>
  <c r="AU5" i="56"/>
  <c r="AU6" i="56"/>
  <c r="AU23" i="56"/>
  <c r="AU2" i="56"/>
  <c r="U30" i="28" l="1"/>
  <c r="U27" i="28"/>
  <c r="U25" i="28"/>
  <c r="U21" i="28"/>
  <c r="U20" i="28"/>
  <c r="U18" i="28"/>
  <c r="U17" i="28"/>
  <c r="U13" i="28"/>
  <c r="U11" i="28"/>
  <c r="U5" i="28"/>
  <c r="U2" i="28"/>
  <c r="T29" i="19" l="1"/>
  <c r="T14" i="19"/>
  <c r="T26" i="19"/>
  <c r="T20" i="19"/>
  <c r="T24" i="19" s="1"/>
  <c r="T6" i="19"/>
  <c r="T2" i="19"/>
  <c r="AN40" i="64" l="1"/>
  <c r="AN37" i="64"/>
  <c r="AN35" i="64"/>
  <c r="AN31" i="64"/>
  <c r="AN29" i="64"/>
  <c r="AN28" i="64"/>
  <c r="AN27" i="64"/>
  <c r="AN26" i="64"/>
  <c r="AN25" i="64"/>
  <c r="AN18" i="64"/>
  <c r="AN15" i="64"/>
  <c r="AN14" i="64"/>
  <c r="AD18" i="70"/>
  <c r="AD17" i="70"/>
  <c r="AD16" i="70"/>
  <c r="AD12" i="70"/>
  <c r="AD10" i="70"/>
  <c r="AD13" i="70"/>
  <c r="AD4" i="70"/>
  <c r="AD3" i="70"/>
  <c r="AD2" i="70"/>
  <c r="AD20" i="70" l="1"/>
  <c r="V21" i="41"/>
  <c r="V19" i="41"/>
  <c r="V17" i="41"/>
  <c r="V12" i="41"/>
  <c r="V8" i="41"/>
  <c r="V9" i="41"/>
  <c r="V3" i="41"/>
  <c r="V4" i="41"/>
  <c r="V2" i="41"/>
  <c r="U13" i="41"/>
  <c r="T13" i="41"/>
  <c r="V13" i="41"/>
  <c r="V22" i="41" l="1"/>
  <c r="U23" i="33"/>
  <c r="U22" i="33"/>
  <c r="U21" i="33"/>
  <c r="U12" i="33"/>
  <c r="U10" i="33"/>
  <c r="U8" i="33"/>
  <c r="U3" i="33"/>
  <c r="U4" i="33"/>
  <c r="U2" i="33"/>
  <c r="U30" i="33"/>
  <c r="CK23" i="54"/>
  <c r="CJ23" i="54"/>
  <c r="CK22" i="54"/>
  <c r="CK21" i="54"/>
  <c r="CK20" i="54"/>
  <c r="CK14" i="54"/>
  <c r="CK12" i="54"/>
  <c r="CK6" i="54"/>
  <c r="CK3" i="54"/>
  <c r="CK5" i="54"/>
  <c r="CK2" i="54"/>
  <c r="CK24" i="54" s="1"/>
  <c r="CK18" i="54"/>
  <c r="AG20" i="27"/>
  <c r="AF20" i="27"/>
  <c r="AE20" i="27"/>
  <c r="AD20" i="27"/>
  <c r="AC20" i="27"/>
  <c r="AB20" i="27"/>
  <c r="AA20" i="27"/>
  <c r="AG22" i="27"/>
  <c r="AA22" i="27"/>
  <c r="Q5" i="12"/>
  <c r="R5" i="12"/>
  <c r="AF33" i="27"/>
  <c r="AG32" i="27"/>
  <c r="AF32" i="27"/>
  <c r="AF29" i="27"/>
  <c r="AG28" i="27"/>
  <c r="AF28" i="27"/>
  <c r="AG27" i="27"/>
  <c r="AF27" i="27"/>
  <c r="AG26" i="27"/>
  <c r="AF26" i="27"/>
  <c r="AF25" i="27"/>
  <c r="AG23" i="27"/>
  <c r="AF23" i="27"/>
  <c r="AG19" i="27"/>
  <c r="AF11" i="27"/>
  <c r="AG4" i="27"/>
  <c r="AF4" i="27"/>
  <c r="AG3" i="27"/>
  <c r="AF3" i="27"/>
  <c r="Y20" i="27"/>
  <c r="X20" i="27"/>
  <c r="W20" i="27"/>
  <c r="AG34" i="27" l="1"/>
  <c r="AF34" i="27"/>
  <c r="U24" i="33"/>
  <c r="U28" i="33" s="1"/>
  <c r="U33" i="33" s="1"/>
  <c r="V47" i="37"/>
  <c r="W47" i="37"/>
  <c r="W37" i="37"/>
  <c r="W35" i="37"/>
  <c r="W34" i="37"/>
  <c r="W33" i="37"/>
  <c r="W30" i="37"/>
  <c r="W27" i="37"/>
  <c r="W25" i="37"/>
  <c r="W18" i="37"/>
  <c r="W44" i="37"/>
  <c r="W20" i="37"/>
  <c r="W16" i="37"/>
  <c r="W38" i="37" l="1"/>
  <c r="AI9" i="4"/>
  <c r="AI8" i="4"/>
  <c r="AI7" i="4"/>
  <c r="AI6" i="4"/>
  <c r="AI3" i="4"/>
  <c r="AI4" i="4"/>
  <c r="AI5" i="4"/>
  <c r="AI2" i="4"/>
  <c r="AI12" i="4" l="1"/>
  <c r="BO26" i="62"/>
  <c r="BO23" i="62"/>
  <c r="BO21" i="62"/>
  <c r="BO17" i="62"/>
  <c r="BO16" i="62"/>
  <c r="BO15" i="62"/>
  <c r="BO14" i="62"/>
  <c r="BO11" i="62"/>
  <c r="BO10" i="62"/>
  <c r="BO4" i="62"/>
  <c r="BO5" i="62"/>
  <c r="BO6" i="62"/>
  <c r="BO2" i="62"/>
  <c r="BN4" i="62"/>
  <c r="BN5" i="62"/>
  <c r="BN6" i="62"/>
  <c r="BN10" i="62"/>
  <c r="BN11" i="62"/>
  <c r="BN14" i="62"/>
  <c r="BN15" i="62"/>
  <c r="BN16" i="62"/>
  <c r="U25" i="12"/>
  <c r="U19" i="12"/>
  <c r="U8" i="12"/>
  <c r="U6" i="12"/>
  <c r="U2" i="12"/>
  <c r="AE16" i="3"/>
  <c r="AE13" i="3"/>
  <c r="AE11" i="3"/>
  <c r="AE7" i="3"/>
  <c r="AE3" i="3"/>
  <c r="AE2" i="3"/>
  <c r="V36" i="15"/>
  <c r="U36" i="15"/>
  <c r="T36" i="15"/>
  <c r="S36" i="15"/>
  <c r="R36" i="15"/>
  <c r="Q36" i="15"/>
  <c r="P36" i="15"/>
  <c r="O36" i="15"/>
  <c r="N29" i="15"/>
  <c r="N33" i="15" s="1"/>
  <c r="S28" i="15"/>
  <c r="R28" i="15"/>
  <c r="S27" i="15"/>
  <c r="R27" i="15"/>
  <c r="Q27" i="15"/>
  <c r="P27" i="15"/>
  <c r="V26" i="15"/>
  <c r="U26" i="15"/>
  <c r="T26" i="15"/>
  <c r="S26" i="15"/>
  <c r="R26" i="15"/>
  <c r="V25" i="15"/>
  <c r="U25" i="15"/>
  <c r="T25" i="15"/>
  <c r="S25" i="15"/>
  <c r="R25" i="15"/>
  <c r="P24" i="15"/>
  <c r="O23" i="15"/>
  <c r="P21" i="15"/>
  <c r="O21" i="15"/>
  <c r="Q18" i="15"/>
  <c r="O17" i="15"/>
  <c r="V13" i="15"/>
  <c r="O11" i="15"/>
  <c r="O9" i="15"/>
  <c r="O8" i="15"/>
  <c r="O7" i="15"/>
  <c r="R5" i="15"/>
  <c r="R29" i="15" s="1"/>
  <c r="Q5" i="15"/>
  <c r="O4" i="15"/>
  <c r="V3" i="15"/>
  <c r="U3" i="15"/>
  <c r="T3" i="15"/>
  <c r="S3" i="15"/>
  <c r="R3" i="15"/>
  <c r="Q3" i="15"/>
  <c r="P3" i="15"/>
  <c r="O3" i="15"/>
  <c r="V2" i="15"/>
  <c r="U2" i="15"/>
  <c r="T2" i="15"/>
  <c r="S2" i="15"/>
  <c r="R2" i="15"/>
  <c r="Q2" i="15"/>
  <c r="P2" i="15"/>
  <c r="O2" i="15"/>
  <c r="S29" i="15" l="1"/>
  <c r="O29" i="15"/>
  <c r="O33" i="15" s="1"/>
  <c r="Q29" i="15"/>
  <c r="U29" i="15"/>
  <c r="T29" i="15"/>
  <c r="V29" i="15"/>
  <c r="P29" i="15"/>
  <c r="N39" i="15"/>
  <c r="P33" i="15" l="1"/>
  <c r="O39" i="15"/>
  <c r="Q33" i="15" l="1"/>
  <c r="P39" i="15"/>
  <c r="Q39" i="15" l="1"/>
  <c r="R33" i="15"/>
  <c r="R39" i="15" l="1"/>
  <c r="S33" i="15"/>
  <c r="S39" i="15" l="1"/>
  <c r="T33" i="15"/>
  <c r="U33" i="15" l="1"/>
  <c r="T39" i="15"/>
  <c r="U39" i="15" l="1"/>
  <c r="V33" i="15"/>
  <c r="V39" i="15" s="1"/>
  <c r="BH9" i="65"/>
  <c r="BG9" i="65" l="1"/>
  <c r="BF9" i="65"/>
  <c r="BE9" i="65"/>
  <c r="BD9" i="65"/>
  <c r="BC9" i="65"/>
  <c r="BB9" i="65"/>
  <c r="AD29" i="27" l="1"/>
  <c r="AE29" i="27"/>
  <c r="AC29" i="27"/>
  <c r="AD33" i="27" l="1"/>
  <c r="AE33" i="27"/>
  <c r="AC33" i="27"/>
  <c r="AB33" i="27"/>
  <c r="AD32" i="27"/>
  <c r="AE32" i="27"/>
  <c r="AC32" i="27"/>
  <c r="AD28" i="27"/>
  <c r="AE28" i="27"/>
  <c r="AC28" i="27"/>
  <c r="AE24" i="27"/>
  <c r="AC24" i="27"/>
  <c r="AD23" i="27"/>
  <c r="AE23" i="27"/>
  <c r="AC23" i="27"/>
  <c r="AB15" i="27"/>
  <c r="AC13" i="27"/>
  <c r="AE11" i="27"/>
  <c r="AD4" i="27"/>
  <c r="AE4" i="27"/>
  <c r="AC4" i="27"/>
  <c r="AD3" i="27"/>
  <c r="AE3" i="27"/>
  <c r="AC3" i="27"/>
  <c r="AE34" i="27" l="1"/>
  <c r="AD34" i="27"/>
  <c r="AC34" i="27"/>
  <c r="BJ29" i="61"/>
  <c r="BJ28" i="61"/>
  <c r="BJ27" i="61"/>
  <c r="BJ25" i="61"/>
  <c r="BI27" i="61"/>
  <c r="BJ24" i="61"/>
  <c r="BJ22" i="61"/>
  <c r="BJ16" i="61"/>
  <c r="BJ13" i="61"/>
  <c r="BJ10" i="61"/>
  <c r="BJ8" i="61"/>
  <c r="BO16" i="60"/>
  <c r="BO17" i="60"/>
  <c r="BO15" i="60"/>
  <c r="BO11" i="60"/>
  <c r="BO7" i="60"/>
  <c r="BO3" i="60"/>
  <c r="BO4" i="60"/>
  <c r="BO2" i="60"/>
  <c r="BO18" i="60" s="1"/>
  <c r="BO14" i="60"/>
  <c r="BN14" i="60"/>
  <c r="BM14" i="60"/>
  <c r="W5" i="39"/>
  <c r="W20" i="39" s="1"/>
  <c r="W13" i="39"/>
  <c r="V13" i="39"/>
  <c r="W10" i="39"/>
  <c r="W8" i="39"/>
  <c r="W7" i="39"/>
  <c r="W6" i="39"/>
  <c r="T4" i="18"/>
  <c r="T3" i="18"/>
  <c r="T5" i="18"/>
  <c r="T2" i="18"/>
  <c r="M7" i="18"/>
  <c r="T7" i="18"/>
  <c r="L7" i="18"/>
  <c r="O8" i="31"/>
  <c r="O9" i="31"/>
  <c r="O3" i="31"/>
  <c r="O10" i="31" s="1"/>
  <c r="O4" i="31"/>
  <c r="O7" i="31"/>
  <c r="O2" i="31"/>
  <c r="BB25" i="16"/>
  <c r="BB24" i="16"/>
  <c r="BB22" i="16"/>
  <c r="BB19" i="16"/>
  <c r="BB17" i="16"/>
  <c r="BB14" i="16"/>
  <c r="BB3" i="16"/>
  <c r="BB2" i="16"/>
  <c r="AR16" i="58"/>
  <c r="AR15" i="58"/>
  <c r="AR9" i="58"/>
  <c r="AR8" i="58"/>
  <c r="AR3" i="58"/>
  <c r="AR4" i="58"/>
  <c r="AR5" i="58"/>
  <c r="AR10" i="58"/>
  <c r="AR2" i="58"/>
  <c r="U17" i="13"/>
  <c r="U15" i="13"/>
  <c r="U13" i="13"/>
  <c r="U12" i="13"/>
  <c r="U3" i="13"/>
  <c r="U4" i="13"/>
  <c r="U7" i="13"/>
  <c r="U2" i="13"/>
  <c r="U25" i="13" s="1"/>
  <c r="W14" i="10"/>
  <c r="W13" i="10"/>
  <c r="W12" i="10"/>
  <c r="W5" i="10"/>
  <c r="W4" i="10"/>
  <c r="W3" i="10"/>
  <c r="W2" i="10"/>
  <c r="W15" i="10" s="1"/>
  <c r="V2" i="10"/>
  <c r="F14" i="85"/>
  <c r="F3" i="85"/>
  <c r="F4" i="85"/>
  <c r="F5" i="85"/>
  <c r="F6" i="85"/>
  <c r="F7" i="85"/>
  <c r="F2" i="85"/>
  <c r="F8" i="85" s="1"/>
  <c r="O14" i="36"/>
  <c r="O15" i="36" s="1"/>
  <c r="O3" i="36"/>
  <c r="O4" i="36"/>
  <c r="O2" i="36"/>
  <c r="BJ31" i="61" l="1"/>
  <c r="AR17" i="58"/>
  <c r="BB27" i="16"/>
  <c r="E8" i="86" l="1"/>
  <c r="E12" i="86"/>
  <c r="E17" i="86" l="1"/>
  <c r="E8" i="85"/>
  <c r="E12" i="85" s="1"/>
  <c r="E17" i="85" l="1"/>
  <c r="F12" i="85"/>
  <c r="F17" i="85" s="1"/>
  <c r="M14" i="32"/>
  <c r="M11" i="32" l="1"/>
  <c r="M15" i="32" l="1"/>
  <c r="M10" i="32"/>
  <c r="M8" i="32"/>
  <c r="M4" i="32"/>
  <c r="M2" i="32"/>
  <c r="M17" i="32" s="1"/>
  <c r="Q20" i="38" l="1"/>
  <c r="Q16" i="38"/>
  <c r="Q11" i="38"/>
  <c r="Q6" i="38"/>
  <c r="Q2" i="38"/>
  <c r="Q21" i="38" l="1"/>
  <c r="T28" i="30"/>
  <c r="T27" i="30"/>
  <c r="T24" i="30"/>
  <c r="T21" i="30"/>
  <c r="T19" i="30"/>
  <c r="T18" i="30"/>
  <c r="T11" i="30"/>
  <c r="T3" i="30"/>
  <c r="T29" i="30" l="1"/>
  <c r="V26" i="14"/>
  <c r="V33" i="14" l="1"/>
  <c r="V32" i="14"/>
  <c r="V31" i="14"/>
  <c r="V17" i="14"/>
  <c r="V16" i="14"/>
  <c r="V8" i="14"/>
  <c r="V6" i="14"/>
  <c r="V5" i="14"/>
  <c r="V4" i="14"/>
  <c r="V34" i="14" l="1"/>
  <c r="BL17" i="59"/>
  <c r="BL16" i="59"/>
  <c r="BL15" i="59"/>
  <c r="BL12" i="59"/>
  <c r="BL8" i="59"/>
  <c r="BL5" i="59"/>
  <c r="BL3" i="59"/>
  <c r="BL19" i="59" l="1"/>
  <c r="U21" i="41"/>
  <c r="U17" i="41"/>
  <c r="U11" i="41"/>
  <c r="U8" i="41"/>
  <c r="U9" i="41"/>
  <c r="U4" i="41"/>
  <c r="U3" i="41"/>
  <c r="U22" i="41" l="1"/>
  <c r="X11" i="40"/>
  <c r="X10" i="40"/>
  <c r="X9" i="40"/>
  <c r="X8" i="40"/>
  <c r="X3" i="40"/>
  <c r="X2" i="40"/>
  <c r="X21" i="40" l="1"/>
  <c r="M13" i="24" l="1"/>
  <c r="M12" i="24"/>
  <c r="M10" i="24"/>
  <c r="M11" i="24"/>
  <c r="M9" i="24"/>
  <c r="M3" i="24"/>
  <c r="M2" i="24"/>
  <c r="R15" i="29" l="1"/>
  <c r="R10" i="29"/>
  <c r="R9" i="29"/>
  <c r="R8" i="29"/>
  <c r="R3" i="29"/>
  <c r="R2" i="29"/>
  <c r="R16" i="29" l="1"/>
  <c r="J11" i="49"/>
  <c r="M24" i="33"/>
  <c r="M28" i="33" s="1"/>
  <c r="M33" i="33" s="1"/>
  <c r="K21" i="38"/>
  <c r="K25" i="38" s="1"/>
  <c r="K30" i="38" s="1"/>
  <c r="I14" i="24"/>
  <c r="I18" i="24" s="1"/>
  <c r="I23" i="24" s="1"/>
  <c r="O21" i="40"/>
  <c r="O25" i="40" s="1"/>
  <c r="O30" i="40" s="1"/>
  <c r="V23" i="25"/>
  <c r="V27" i="25" s="1"/>
  <c r="V32" i="25" s="1"/>
  <c r="M29" i="30"/>
  <c r="M33" i="30" s="1"/>
  <c r="M38" i="30" s="1"/>
  <c r="N38" i="37"/>
  <c r="N42" i="37" s="1"/>
  <c r="N47" i="37" s="1"/>
  <c r="I14" i="69"/>
  <c r="BS15" i="63"/>
  <c r="BK23" i="53"/>
  <c r="BK22" i="53"/>
  <c r="BK20" i="53"/>
  <c r="BK19" i="53"/>
  <c r="BK18" i="53"/>
  <c r="BK17" i="53"/>
  <c r="BK15" i="53"/>
  <c r="BK14" i="53"/>
  <c r="BK11" i="53"/>
  <c r="BK3" i="53"/>
  <c r="BK4" i="53"/>
  <c r="BK2" i="53"/>
  <c r="AO3" i="7"/>
  <c r="AT16" i="56"/>
  <c r="AT15" i="56"/>
  <c r="AT13" i="56"/>
  <c r="AT10" i="56"/>
  <c r="AT5" i="56"/>
  <c r="AT6" i="56"/>
  <c r="AT4" i="56"/>
  <c r="AT2" i="56"/>
  <c r="W29" i="20"/>
  <c r="W33" i="20" s="1"/>
  <c r="X2" i="20"/>
  <c r="X3" i="20"/>
  <c r="X29" i="20" s="1"/>
  <c r="Y2" i="20"/>
  <c r="Y3" i="20"/>
  <c r="Y4" i="20"/>
  <c r="Y10" i="20"/>
  <c r="Z2" i="20"/>
  <c r="Z3" i="20"/>
  <c r="Z4" i="20"/>
  <c r="AA2" i="20"/>
  <c r="AA3" i="20"/>
  <c r="AA4" i="20"/>
  <c r="AA6" i="20"/>
  <c r="AB2" i="20"/>
  <c r="AB3" i="20"/>
  <c r="AB4" i="20"/>
  <c r="AB6" i="20"/>
  <c r="AC2" i="20"/>
  <c r="AC3" i="20"/>
  <c r="AC4" i="20"/>
  <c r="AC6" i="20"/>
  <c r="AD2" i="20"/>
  <c r="AD3" i="20"/>
  <c r="AD4" i="20"/>
  <c r="AD6" i="20"/>
  <c r="AE2" i="20"/>
  <c r="AE3" i="20"/>
  <c r="AE4" i="20"/>
  <c r="AE6" i="20"/>
  <c r="AE8" i="20"/>
  <c r="AF2" i="20"/>
  <c r="AF3" i="20"/>
  <c r="AF4" i="20"/>
  <c r="AF6" i="20"/>
  <c r="AF7" i="20"/>
  <c r="AG2" i="20"/>
  <c r="AG3" i="20"/>
  <c r="AG4" i="20"/>
  <c r="AG6" i="20"/>
  <c r="AG7" i="20"/>
  <c r="AH2" i="20"/>
  <c r="AH3" i="20"/>
  <c r="AH4" i="20"/>
  <c r="AI2" i="20"/>
  <c r="AI3" i="20"/>
  <c r="AI4" i="20"/>
  <c r="AI12" i="20"/>
  <c r="AI14" i="20"/>
  <c r="AJ2" i="20"/>
  <c r="AJ3" i="20"/>
  <c r="AJ12" i="20"/>
  <c r="AJ14" i="20"/>
  <c r="AK2" i="20"/>
  <c r="AK14" i="20"/>
  <c r="AL2" i="20"/>
  <c r="AL13" i="20"/>
  <c r="AL14" i="20"/>
  <c r="AL20" i="20"/>
  <c r="AL22" i="20"/>
  <c r="AM2" i="20"/>
  <c r="AM13" i="20"/>
  <c r="AM14" i="20"/>
  <c r="AM22" i="20"/>
  <c r="AM28" i="20"/>
  <c r="AN2" i="20"/>
  <c r="AN13" i="20"/>
  <c r="AN14" i="20"/>
  <c r="AN21" i="20"/>
  <c r="AN22" i="20"/>
  <c r="AN25" i="20"/>
  <c r="AN26" i="20"/>
  <c r="AO2" i="20"/>
  <c r="AO22" i="20"/>
  <c r="AO26" i="20"/>
  <c r="X35" i="20"/>
  <c r="Y35" i="20" s="1"/>
  <c r="Z35" i="20" s="1"/>
  <c r="AA35" i="20" s="1"/>
  <c r="AB35" i="20" s="1"/>
  <c r="AC35" i="20" s="1"/>
  <c r="AD35" i="20" s="1"/>
  <c r="AE35" i="20" s="1"/>
  <c r="AF35" i="20" s="1"/>
  <c r="AG35" i="20" s="1"/>
  <c r="AH35" i="20" s="1"/>
  <c r="AI35" i="20" s="1"/>
  <c r="AJ35" i="20" s="1"/>
  <c r="AK35" i="20" s="1"/>
  <c r="AL35" i="20" s="1"/>
  <c r="AM35" i="20" s="1"/>
  <c r="AN35" i="20" s="1"/>
  <c r="AO35" i="20" s="1"/>
  <c r="BH12" i="65"/>
  <c r="BH7" i="65"/>
  <c r="BH3" i="65"/>
  <c r="BH2" i="65"/>
  <c r="N9" i="31"/>
  <c r="N3" i="31"/>
  <c r="N4" i="31"/>
  <c r="N5" i="31"/>
  <c r="N7" i="31"/>
  <c r="N2" i="31"/>
  <c r="U18" i="4"/>
  <c r="V18" i="4" s="1"/>
  <c r="W18" i="4" s="1"/>
  <c r="X18" i="4" s="1"/>
  <c r="Y18" i="4" s="1"/>
  <c r="Z18" i="4" s="1"/>
  <c r="AA18" i="4" s="1"/>
  <c r="AB18" i="4" s="1"/>
  <c r="AC18" i="4" s="1"/>
  <c r="AD18" i="4" s="1"/>
  <c r="AE18" i="4" s="1"/>
  <c r="AF18" i="4" s="1"/>
  <c r="AG18" i="4" s="1"/>
  <c r="AH18" i="4" s="1"/>
  <c r="AI18" i="4" s="1"/>
  <c r="AJ18" i="4" s="1"/>
  <c r="T12" i="4"/>
  <c r="T16" i="4" s="1"/>
  <c r="U2" i="4"/>
  <c r="U3" i="4"/>
  <c r="U4" i="4"/>
  <c r="U5" i="4"/>
  <c r="V2" i="4"/>
  <c r="V3" i="4"/>
  <c r="V4" i="4"/>
  <c r="V5" i="4"/>
  <c r="W2" i="4"/>
  <c r="W3" i="4"/>
  <c r="W4" i="4"/>
  <c r="W5" i="4"/>
  <c r="X2" i="4"/>
  <c r="X3" i="4"/>
  <c r="X4" i="4"/>
  <c r="X5" i="4"/>
  <c r="Y2" i="4"/>
  <c r="Y3" i="4"/>
  <c r="Y4" i="4"/>
  <c r="Y5" i="4"/>
  <c r="Y11" i="4"/>
  <c r="Z2" i="4"/>
  <c r="Z3" i="4"/>
  <c r="Z4" i="4"/>
  <c r="Z5" i="4"/>
  <c r="Z11" i="4"/>
  <c r="AA2" i="4"/>
  <c r="AA3" i="4"/>
  <c r="AA4" i="4"/>
  <c r="AA5" i="4"/>
  <c r="AB2" i="4"/>
  <c r="AB3" i="4"/>
  <c r="AB4" i="4"/>
  <c r="AB5" i="4"/>
  <c r="AC2" i="4"/>
  <c r="AC3" i="4"/>
  <c r="AC4" i="4"/>
  <c r="AC5" i="4"/>
  <c r="AC6" i="4"/>
  <c r="AD2" i="4"/>
  <c r="AD3" i="4"/>
  <c r="AD4" i="4"/>
  <c r="AD5" i="4"/>
  <c r="AD6" i="4"/>
  <c r="AE2" i="4"/>
  <c r="AE3" i="4"/>
  <c r="AE4" i="4"/>
  <c r="AE5" i="4"/>
  <c r="AE6" i="4"/>
  <c r="AF2" i="4"/>
  <c r="AF3" i="4"/>
  <c r="AF4" i="4"/>
  <c r="AF5" i="4"/>
  <c r="AF6" i="4"/>
  <c r="AG2" i="4"/>
  <c r="AG3" i="4"/>
  <c r="AG5" i="4"/>
  <c r="AG6" i="4"/>
  <c r="AG7" i="4"/>
  <c r="AH2" i="4"/>
  <c r="AH3" i="4"/>
  <c r="AH4" i="4"/>
  <c r="AH5" i="4"/>
  <c r="AH6" i="4"/>
  <c r="AH7" i="4"/>
  <c r="AF8" i="2"/>
  <c r="AE8" i="2"/>
  <c r="AD8" i="2"/>
  <c r="AC8" i="2"/>
  <c r="AB8" i="2"/>
  <c r="AA8" i="2"/>
  <c r="Z8" i="2"/>
  <c r="Y8" i="2"/>
  <c r="X8" i="2"/>
  <c r="W8" i="2"/>
  <c r="V8" i="2"/>
  <c r="U8" i="2"/>
  <c r="T8" i="2"/>
  <c r="V8" i="39"/>
  <c r="V7" i="39"/>
  <c r="T8" i="39"/>
  <c r="T7" i="39"/>
  <c r="Q8" i="39"/>
  <c r="Q7" i="39"/>
  <c r="U2" i="39"/>
  <c r="U20" i="39" s="1"/>
  <c r="U3" i="39"/>
  <c r="U9" i="39"/>
  <c r="U10" i="39"/>
  <c r="U13" i="39"/>
  <c r="U17" i="39"/>
  <c r="U19" i="39"/>
  <c r="P2" i="39"/>
  <c r="P3" i="39"/>
  <c r="P9" i="39"/>
  <c r="P10" i="39"/>
  <c r="P12" i="39"/>
  <c r="P13" i="39"/>
  <c r="P14" i="39"/>
  <c r="P15" i="39"/>
  <c r="P16" i="39"/>
  <c r="P17" i="39"/>
  <c r="O3" i="39"/>
  <c r="O4" i="39"/>
  <c r="O2" i="39"/>
  <c r="O14" i="39"/>
  <c r="O15" i="39"/>
  <c r="O17" i="39"/>
  <c r="N20" i="39"/>
  <c r="N24" i="39"/>
  <c r="N29" i="39" s="1"/>
  <c r="Q2" i="39"/>
  <c r="Q20" i="39" s="1"/>
  <c r="Q4" i="39"/>
  <c r="Q9" i="39"/>
  <c r="Q10" i="39"/>
  <c r="Q17" i="39"/>
  <c r="R2" i="39"/>
  <c r="R3" i="39"/>
  <c r="R9" i="39"/>
  <c r="R10" i="39"/>
  <c r="R17" i="39"/>
  <c r="R18" i="39"/>
  <c r="S2" i="39"/>
  <c r="S3" i="39"/>
  <c r="S9" i="39"/>
  <c r="S10" i="39"/>
  <c r="S17" i="39"/>
  <c r="S18" i="39"/>
  <c r="T3" i="39"/>
  <c r="T2" i="39"/>
  <c r="T9" i="39"/>
  <c r="T10" i="39"/>
  <c r="T17" i="39"/>
  <c r="T18" i="39"/>
  <c r="T19" i="39"/>
  <c r="V3" i="39"/>
  <c r="V9" i="39"/>
  <c r="V10" i="39"/>
  <c r="O26" i="39"/>
  <c r="P26" i="39"/>
  <c r="Q26" i="39" s="1"/>
  <c r="R26" i="39" s="1"/>
  <c r="S26" i="39" s="1"/>
  <c r="T26" i="39" s="1"/>
  <c r="U26" i="39" s="1"/>
  <c r="V26" i="39" s="1"/>
  <c r="W26" i="39" s="1"/>
  <c r="AF10" i="2"/>
  <c r="AE10" i="2"/>
  <c r="AF9" i="2"/>
  <c r="AE9" i="2"/>
  <c r="AF3" i="2"/>
  <c r="AE3" i="2"/>
  <c r="AF2" i="2"/>
  <c r="AE2" i="2"/>
  <c r="AF11" i="2"/>
  <c r="AE11" i="2"/>
  <c r="AD11" i="2"/>
  <c r="AC3" i="2"/>
  <c r="AC4" i="2"/>
  <c r="T3" i="2"/>
  <c r="T4" i="2"/>
  <c r="T5" i="2"/>
  <c r="T6" i="2"/>
  <c r="S13" i="2"/>
  <c r="S17" i="2" s="1"/>
  <c r="S22" i="2" s="1"/>
  <c r="U3" i="2"/>
  <c r="U4" i="2"/>
  <c r="U5" i="2"/>
  <c r="V3" i="2"/>
  <c r="V4" i="2"/>
  <c r="V5" i="2"/>
  <c r="W3" i="2"/>
  <c r="W4" i="2"/>
  <c r="W5" i="2"/>
  <c r="X3" i="2"/>
  <c r="X4" i="2"/>
  <c r="X5" i="2"/>
  <c r="Y3" i="2"/>
  <c r="Y4" i="2"/>
  <c r="Y5" i="2"/>
  <c r="Z3" i="2"/>
  <c r="Z4" i="2"/>
  <c r="AA3" i="2"/>
  <c r="AA4" i="2"/>
  <c r="AA5" i="2"/>
  <c r="AB3" i="2"/>
  <c r="AB4" i="2"/>
  <c r="AB5" i="2"/>
  <c r="AE13" i="2"/>
  <c r="S14" i="19"/>
  <c r="S13" i="19"/>
  <c r="S6" i="19"/>
  <c r="S2" i="19"/>
  <c r="S20" i="19" s="1"/>
  <c r="AX3" i="52"/>
  <c r="AX4" i="52"/>
  <c r="AX10" i="52"/>
  <c r="AX7" i="52"/>
  <c r="AX6" i="52"/>
  <c r="AX11" i="52"/>
  <c r="AX2" i="52"/>
  <c r="AO16" i="7"/>
  <c r="AO14" i="7"/>
  <c r="AO4" i="7"/>
  <c r="AO2" i="7"/>
  <c r="AO12" i="7"/>
  <c r="AA3" i="7"/>
  <c r="AA4" i="7"/>
  <c r="AA2" i="7"/>
  <c r="X23" i="7"/>
  <c r="X27" i="7" s="1"/>
  <c r="X32" i="7" s="1"/>
  <c r="Y2" i="7"/>
  <c r="Y3" i="7"/>
  <c r="Y4" i="7"/>
  <c r="Z2" i="7"/>
  <c r="Z3" i="7"/>
  <c r="Z4" i="7"/>
  <c r="Z6" i="7"/>
  <c r="AB3" i="7"/>
  <c r="AB4" i="7"/>
  <c r="AB2" i="7"/>
  <c r="AC3" i="7"/>
  <c r="AC4" i="7"/>
  <c r="AC2" i="7"/>
  <c r="AD3" i="7"/>
  <c r="AD4" i="7"/>
  <c r="AD2" i="7"/>
  <c r="AE3" i="7"/>
  <c r="AE4" i="7"/>
  <c r="AE2" i="7"/>
  <c r="AF3" i="7"/>
  <c r="AF4" i="7"/>
  <c r="AF2" i="7"/>
  <c r="AF8" i="7"/>
  <c r="AF12" i="7"/>
  <c r="AF13" i="7"/>
  <c r="AG3" i="7"/>
  <c r="AG4" i="7"/>
  <c r="AG2" i="7"/>
  <c r="AG7" i="7"/>
  <c r="AG12" i="7"/>
  <c r="AG13" i="7"/>
  <c r="AH3" i="7"/>
  <c r="AH4" i="7"/>
  <c r="AH2" i="7"/>
  <c r="AH7" i="7"/>
  <c r="AH12" i="7"/>
  <c r="AI3" i="7"/>
  <c r="AI4" i="7"/>
  <c r="AI2" i="7"/>
  <c r="AI12" i="7"/>
  <c r="AI14" i="7"/>
  <c r="AI22" i="7"/>
  <c r="AJ3" i="7"/>
  <c r="AJ4" i="7"/>
  <c r="AJ2" i="7"/>
  <c r="AJ12" i="7"/>
  <c r="AJ14" i="7"/>
  <c r="AJ22" i="7"/>
  <c r="AK3" i="7"/>
  <c r="AK4" i="7"/>
  <c r="AK2" i="7"/>
  <c r="AK12" i="7"/>
  <c r="AK14" i="7"/>
  <c r="AK22" i="7"/>
  <c r="AL3" i="7"/>
  <c r="AL4" i="7"/>
  <c r="AL2" i="7"/>
  <c r="AL12" i="7"/>
  <c r="AL14" i="7"/>
  <c r="AL22" i="7"/>
  <c r="AM3" i="7"/>
  <c r="AM4" i="7"/>
  <c r="AM2" i="7"/>
  <c r="AM12" i="7"/>
  <c r="AM14" i="7"/>
  <c r="AM15" i="7"/>
  <c r="AM16" i="7"/>
  <c r="AM17" i="7"/>
  <c r="AM22" i="7"/>
  <c r="AN3" i="7"/>
  <c r="AN4" i="7"/>
  <c r="AN2" i="7"/>
  <c r="AN12" i="7"/>
  <c r="AN14" i="7"/>
  <c r="AN15" i="7"/>
  <c r="AN16" i="7"/>
  <c r="Y29" i="7"/>
  <c r="Z29" i="7" s="1"/>
  <c r="AA29" i="7" s="1"/>
  <c r="AB29" i="7" s="1"/>
  <c r="AC29" i="7" s="1"/>
  <c r="AD29" i="7" s="1"/>
  <c r="AE29" i="7" s="1"/>
  <c r="AF29" i="7" s="1"/>
  <c r="AG29" i="7" s="1"/>
  <c r="AH29" i="7" s="1"/>
  <c r="AI29" i="7" s="1"/>
  <c r="AJ29" i="7" s="1"/>
  <c r="AK29" i="7" s="1"/>
  <c r="AL29" i="7" s="1"/>
  <c r="AM29" i="7" s="1"/>
  <c r="AN29" i="7" s="1"/>
  <c r="AO29" i="7" s="1"/>
  <c r="CJ22" i="54"/>
  <c r="CJ21" i="54"/>
  <c r="CJ20" i="54"/>
  <c r="CJ14" i="54"/>
  <c r="CJ12" i="54"/>
  <c r="CJ6" i="54"/>
  <c r="CJ3" i="54"/>
  <c r="CJ5" i="54"/>
  <c r="CJ2" i="54"/>
  <c r="T20" i="28"/>
  <c r="T17" i="28"/>
  <c r="S17" i="28"/>
  <c r="R17" i="28"/>
  <c r="T13" i="28"/>
  <c r="T11" i="28"/>
  <c r="T10" i="28"/>
  <c r="T5" i="28"/>
  <c r="T2" i="28"/>
  <c r="L20" i="19"/>
  <c r="BU11" i="63"/>
  <c r="BV11" i="63"/>
  <c r="BT11" i="63"/>
  <c r="BV19" i="63"/>
  <c r="BV18" i="63"/>
  <c r="BV16" i="63"/>
  <c r="BV14" i="63"/>
  <c r="BV12" i="63"/>
  <c r="BV10" i="63"/>
  <c r="BV4" i="63"/>
  <c r="BV3" i="63"/>
  <c r="E5" i="84"/>
  <c r="E9" i="84" s="1"/>
  <c r="E14" i="84" s="1"/>
  <c r="E8" i="83"/>
  <c r="E12" i="83"/>
  <c r="E17" i="83" s="1"/>
  <c r="E9" i="82"/>
  <c r="E13" i="82" s="1"/>
  <c r="E18" i="82" s="1"/>
  <c r="E9" i="81"/>
  <c r="E13" i="81"/>
  <c r="E18" i="81" s="1"/>
  <c r="AM28" i="64"/>
  <c r="AM27" i="64"/>
  <c r="AM26" i="64"/>
  <c r="AM25" i="64"/>
  <c r="AM18" i="64"/>
  <c r="AM15" i="64"/>
  <c r="AM14" i="64"/>
  <c r="V34" i="37"/>
  <c r="V37" i="37"/>
  <c r="V35" i="37"/>
  <c r="V25" i="37"/>
  <c r="V24" i="37"/>
  <c r="V21" i="37"/>
  <c r="V20" i="37"/>
  <c r="V18" i="37"/>
  <c r="V16" i="37"/>
  <c r="AL17" i="25"/>
  <c r="AL16" i="25"/>
  <c r="AL15" i="25"/>
  <c r="AL11" i="25"/>
  <c r="AL6" i="25"/>
  <c r="AL4" i="25"/>
  <c r="AL3" i="25"/>
  <c r="AL2" i="25"/>
  <c r="T23" i="33"/>
  <c r="T22" i="33"/>
  <c r="T20" i="33"/>
  <c r="T2" i="33"/>
  <c r="T3" i="33"/>
  <c r="T4" i="33"/>
  <c r="T8" i="33"/>
  <c r="T12" i="33"/>
  <c r="T13" i="33"/>
  <c r="BN2" i="62"/>
  <c r="T13" i="12"/>
  <c r="T15" i="12"/>
  <c r="T18" i="12"/>
  <c r="T17" i="12"/>
  <c r="T12" i="12"/>
  <c r="T6" i="12"/>
  <c r="T2" i="12"/>
  <c r="AC18" i="70"/>
  <c r="AC17" i="70"/>
  <c r="AC12" i="70"/>
  <c r="AC10" i="70"/>
  <c r="AC2" i="70"/>
  <c r="M9" i="31"/>
  <c r="L9" i="31"/>
  <c r="M3" i="31"/>
  <c r="M7" i="31"/>
  <c r="M10" i="31" s="1"/>
  <c r="M2" i="31"/>
  <c r="BA25" i="16"/>
  <c r="BA24" i="16"/>
  <c r="BA20" i="16"/>
  <c r="BA19" i="16"/>
  <c r="BA18" i="16"/>
  <c r="BA17" i="16"/>
  <c r="BA14" i="16"/>
  <c r="BA3" i="16"/>
  <c r="BA2" i="16"/>
  <c r="AH31" i="61"/>
  <c r="AH35" i="61" s="1"/>
  <c r="AH40" i="61" s="1"/>
  <c r="AI2" i="61"/>
  <c r="AI3" i="61"/>
  <c r="AI4" i="61"/>
  <c r="AI5" i="61"/>
  <c r="AI6" i="61"/>
  <c r="AI7" i="61"/>
  <c r="AJ2" i="61"/>
  <c r="AJ3" i="61"/>
  <c r="AJ4" i="61"/>
  <c r="AJ5" i="61"/>
  <c r="AJ6" i="61"/>
  <c r="AJ7" i="61"/>
  <c r="AJ8" i="61"/>
  <c r="AK2" i="61"/>
  <c r="AK3" i="61"/>
  <c r="AK4" i="61"/>
  <c r="AK5" i="61"/>
  <c r="AK6" i="61"/>
  <c r="AK7" i="61"/>
  <c r="AK8" i="61"/>
  <c r="AL2" i="61"/>
  <c r="AL3" i="61"/>
  <c r="AL4" i="61"/>
  <c r="AL5" i="61"/>
  <c r="AL6" i="61"/>
  <c r="AL7" i="61"/>
  <c r="AL8" i="61"/>
  <c r="AM2" i="61"/>
  <c r="AM3" i="61"/>
  <c r="AM4" i="61"/>
  <c r="AM5" i="61"/>
  <c r="AM6" i="61"/>
  <c r="AM7" i="61"/>
  <c r="AM8" i="61"/>
  <c r="AN2" i="61"/>
  <c r="AN4" i="61"/>
  <c r="AN5" i="61"/>
  <c r="AN7" i="61"/>
  <c r="AN8" i="61"/>
  <c r="AO2" i="61"/>
  <c r="AO4" i="61"/>
  <c r="AO5" i="61"/>
  <c r="AO7" i="61"/>
  <c r="AO8" i="61"/>
  <c r="AO10" i="61"/>
  <c r="AP2" i="61"/>
  <c r="AP4" i="61"/>
  <c r="AP5" i="61"/>
  <c r="AP7" i="61"/>
  <c r="AP8" i="61"/>
  <c r="AP10" i="61"/>
  <c r="AQ2" i="61"/>
  <c r="AQ4" i="61"/>
  <c r="AQ5" i="61"/>
  <c r="AQ7" i="61"/>
  <c r="AQ8" i="61"/>
  <c r="AQ10" i="61"/>
  <c r="AR2" i="61"/>
  <c r="AR4" i="61"/>
  <c r="AR5" i="61"/>
  <c r="AR7" i="61"/>
  <c r="AR8" i="61"/>
  <c r="AR10" i="61"/>
  <c r="AS2" i="61"/>
  <c r="AS4" i="61"/>
  <c r="AS5" i="61"/>
  <c r="AS7" i="61"/>
  <c r="AS8" i="61"/>
  <c r="AS10" i="61"/>
  <c r="AS11" i="61"/>
  <c r="AS12" i="61"/>
  <c r="AT2" i="61"/>
  <c r="AT4" i="61"/>
  <c r="AT5" i="61"/>
  <c r="AT7" i="61"/>
  <c r="AT8" i="61"/>
  <c r="AT10" i="61"/>
  <c r="AT11" i="61"/>
  <c r="AT12" i="61"/>
  <c r="AU2" i="61"/>
  <c r="AU4" i="61"/>
  <c r="AU5" i="61"/>
  <c r="AU7" i="61"/>
  <c r="AU8" i="61"/>
  <c r="AU10" i="61"/>
  <c r="AU11" i="61"/>
  <c r="AU12" i="61"/>
  <c r="AU13" i="61"/>
  <c r="AV2" i="61"/>
  <c r="AV4" i="61"/>
  <c r="AV5" i="61"/>
  <c r="AV7" i="61"/>
  <c r="AV8" i="61"/>
  <c r="AV10" i="61"/>
  <c r="AV11" i="61"/>
  <c r="AV12" i="61"/>
  <c r="AV13" i="61"/>
  <c r="AV14" i="61"/>
  <c r="AV15" i="61"/>
  <c r="AW7" i="61"/>
  <c r="AW8" i="61"/>
  <c r="AW10" i="61"/>
  <c r="AW11" i="61"/>
  <c r="AW12" i="61"/>
  <c r="AW13" i="61"/>
  <c r="AW14" i="61"/>
  <c r="AW15" i="61"/>
  <c r="AX7" i="61"/>
  <c r="AX8" i="61"/>
  <c r="AX10" i="61"/>
  <c r="AX11" i="61"/>
  <c r="AX12" i="61"/>
  <c r="AX13" i="61"/>
  <c r="AX14" i="61"/>
  <c r="AX15" i="61"/>
  <c r="AX16" i="61"/>
  <c r="AX24" i="61"/>
  <c r="AY7" i="61"/>
  <c r="AY8" i="61"/>
  <c r="AY10" i="61"/>
  <c r="AY11" i="61"/>
  <c r="AY12" i="61"/>
  <c r="AY13" i="61"/>
  <c r="AY14" i="61"/>
  <c r="AY15" i="61"/>
  <c r="AY16" i="61"/>
  <c r="AY24" i="61"/>
  <c r="AZ7" i="61"/>
  <c r="AZ8" i="61"/>
  <c r="AZ10" i="61"/>
  <c r="AZ11" i="61"/>
  <c r="AZ13" i="61"/>
  <c r="AZ15" i="61"/>
  <c r="AZ16" i="61"/>
  <c r="AZ24" i="61"/>
  <c r="BA8" i="61"/>
  <c r="BA10" i="61"/>
  <c r="BA13" i="61"/>
  <c r="BA16" i="61"/>
  <c r="BA24" i="61"/>
  <c r="BB8" i="61"/>
  <c r="BB10" i="61"/>
  <c r="BB13" i="61"/>
  <c r="BB16" i="61"/>
  <c r="BB24" i="61"/>
  <c r="BB25" i="61"/>
  <c r="BC8" i="61"/>
  <c r="BC10" i="61"/>
  <c r="BC13" i="61"/>
  <c r="BC16" i="61"/>
  <c r="BC24" i="61"/>
  <c r="BC25" i="61"/>
  <c r="BD8" i="61"/>
  <c r="BD10" i="61"/>
  <c r="BD13" i="61"/>
  <c r="BD16" i="61"/>
  <c r="BD24" i="61"/>
  <c r="BD25" i="61"/>
  <c r="BE8" i="61"/>
  <c r="BE10" i="61"/>
  <c r="BE13" i="61"/>
  <c r="BE16" i="61"/>
  <c r="BE24" i="61"/>
  <c r="BE25" i="61"/>
  <c r="BE26" i="61"/>
  <c r="BE27" i="61"/>
  <c r="BF8" i="61"/>
  <c r="BF10" i="61"/>
  <c r="BF13" i="61"/>
  <c r="BF16" i="61"/>
  <c r="BF24" i="61"/>
  <c r="BF25" i="61"/>
  <c r="BF26" i="61"/>
  <c r="BF27" i="61"/>
  <c r="BF28" i="61"/>
  <c r="BG8" i="61"/>
  <c r="BG10" i="61"/>
  <c r="BG13" i="61"/>
  <c r="BG16" i="61"/>
  <c r="BG24" i="61"/>
  <c r="BG25" i="61"/>
  <c r="BG27" i="61"/>
  <c r="BG28" i="61"/>
  <c r="BG30" i="61"/>
  <c r="BH8" i="61"/>
  <c r="BH10" i="61"/>
  <c r="BH13" i="61"/>
  <c r="BH16" i="61"/>
  <c r="BH24" i="61"/>
  <c r="BH25" i="61"/>
  <c r="BH27" i="61"/>
  <c r="BH28" i="61"/>
  <c r="BH30" i="61"/>
  <c r="BI8" i="61"/>
  <c r="BI10" i="61"/>
  <c r="BI13" i="61"/>
  <c r="BI16" i="61"/>
  <c r="BI24" i="61"/>
  <c r="BI25" i="61"/>
  <c r="BI28" i="61"/>
  <c r="BI29" i="61"/>
  <c r="BI30" i="61"/>
  <c r="AI37" i="61"/>
  <c r="AJ37" i="61" s="1"/>
  <c r="AK37" i="61" s="1"/>
  <c r="AL37" i="61" s="1"/>
  <c r="AM37" i="61" s="1"/>
  <c r="AN37" i="61" s="1"/>
  <c r="AO37" i="61" s="1"/>
  <c r="AP37" i="61" s="1"/>
  <c r="AQ37" i="61" s="1"/>
  <c r="AR37" i="61" s="1"/>
  <c r="AS37" i="61" s="1"/>
  <c r="AT37" i="61" s="1"/>
  <c r="AU37" i="61" s="1"/>
  <c r="AV37" i="61" s="1"/>
  <c r="AW37" i="61" s="1"/>
  <c r="AX37" i="61" s="1"/>
  <c r="AY37" i="61" s="1"/>
  <c r="AZ37" i="61" s="1"/>
  <c r="BA37" i="61" s="1"/>
  <c r="BB37" i="61" s="1"/>
  <c r="BC37" i="61" s="1"/>
  <c r="BD37" i="61" s="1"/>
  <c r="BE37" i="61" s="1"/>
  <c r="BF37" i="61" s="1"/>
  <c r="BG37" i="61" s="1"/>
  <c r="BH37" i="61" s="1"/>
  <c r="BI37" i="61" s="1"/>
  <c r="BJ37" i="61" s="1"/>
  <c r="BN17" i="60"/>
  <c r="BN16" i="60"/>
  <c r="BN7" i="60"/>
  <c r="BN11" i="60"/>
  <c r="BN15" i="60"/>
  <c r="BN3" i="60"/>
  <c r="BN4" i="60"/>
  <c r="BN2" i="60"/>
  <c r="BM16" i="60"/>
  <c r="BL16" i="60"/>
  <c r="BK16" i="60"/>
  <c r="BJ16" i="60"/>
  <c r="BI16" i="60"/>
  <c r="BH16" i="60"/>
  <c r="AQ16" i="58"/>
  <c r="AQ15" i="58"/>
  <c r="AQ9" i="58"/>
  <c r="AQ8" i="58"/>
  <c r="AQ3" i="58"/>
  <c r="AQ4" i="58"/>
  <c r="AQ5" i="58"/>
  <c r="AQ10" i="58"/>
  <c r="AQ2" i="58"/>
  <c r="S4" i="18"/>
  <c r="S3" i="18"/>
  <c r="S5" i="18"/>
  <c r="S2" i="18"/>
  <c r="T23" i="13"/>
  <c r="T24" i="13"/>
  <c r="T15" i="13"/>
  <c r="T14" i="13"/>
  <c r="T13" i="13"/>
  <c r="T12" i="13"/>
  <c r="T3" i="13"/>
  <c r="T4" i="13"/>
  <c r="T5" i="13"/>
  <c r="T7" i="13"/>
  <c r="T2" i="13"/>
  <c r="S12" i="13"/>
  <c r="AB24" i="27"/>
  <c r="T34" i="27"/>
  <c r="T38" i="27" s="1"/>
  <c r="T43" i="27" s="1"/>
  <c r="U2" i="27"/>
  <c r="U3" i="27"/>
  <c r="U4" i="27"/>
  <c r="U6" i="27"/>
  <c r="U8" i="27"/>
  <c r="V2" i="27"/>
  <c r="V3" i="27"/>
  <c r="V4" i="27"/>
  <c r="V6" i="27"/>
  <c r="V21" i="27"/>
  <c r="W2" i="27"/>
  <c r="W3" i="27"/>
  <c r="W4" i="27"/>
  <c r="W8" i="27"/>
  <c r="X2" i="27"/>
  <c r="X3" i="27"/>
  <c r="X4" i="27"/>
  <c r="X22" i="27"/>
  <c r="Y3" i="27"/>
  <c r="Y4" i="27"/>
  <c r="Y22" i="27"/>
  <c r="Y23" i="27"/>
  <c r="Y30" i="27"/>
  <c r="Z2" i="27"/>
  <c r="Z3" i="27"/>
  <c r="Z4" i="27"/>
  <c r="Z9" i="27"/>
  <c r="Z16" i="27"/>
  <c r="Z17" i="27"/>
  <c r="Z23" i="27"/>
  <c r="Z30" i="27"/>
  <c r="Z32" i="27"/>
  <c r="Z33" i="27"/>
  <c r="AA3" i="27"/>
  <c r="AA4" i="27"/>
  <c r="AA15" i="27"/>
  <c r="AA23" i="27"/>
  <c r="AA32" i="27"/>
  <c r="AA33" i="27"/>
  <c r="AB3" i="27"/>
  <c r="AB4" i="27"/>
  <c r="AB13" i="27"/>
  <c r="AB30" i="27"/>
  <c r="AB32" i="27"/>
  <c r="U40" i="27"/>
  <c r="V40" i="27" s="1"/>
  <c r="W40" i="27" s="1"/>
  <c r="X40" i="27" s="1"/>
  <c r="Y40" i="27" s="1"/>
  <c r="Z40" i="27" s="1"/>
  <c r="AA40" i="27" s="1"/>
  <c r="AB40" i="27" s="1"/>
  <c r="AC40" i="27" s="1"/>
  <c r="AD40" i="27" s="1"/>
  <c r="AE40" i="27" s="1"/>
  <c r="AF40" i="27" s="1"/>
  <c r="AG40" i="27" s="1"/>
  <c r="AH40" i="27" s="1"/>
  <c r="AD3" i="3"/>
  <c r="AD2" i="3"/>
  <c r="AD7" i="3" s="1"/>
  <c r="BG13" i="65"/>
  <c r="BG12" i="65"/>
  <c r="BG7" i="65"/>
  <c r="BG3" i="65"/>
  <c r="BG2" i="65"/>
  <c r="AW10" i="52"/>
  <c r="AW7" i="52"/>
  <c r="AW6" i="52"/>
  <c r="AW3" i="52"/>
  <c r="AW4" i="52"/>
  <c r="AW2" i="52"/>
  <c r="N3" i="36"/>
  <c r="N4" i="36"/>
  <c r="N7" i="36"/>
  <c r="N10" i="36"/>
  <c r="N14" i="36"/>
  <c r="N12" i="36"/>
  <c r="N11" i="36"/>
  <c r="N2" i="36"/>
  <c r="P2" i="40"/>
  <c r="P3" i="40"/>
  <c r="P4" i="40"/>
  <c r="P5" i="40"/>
  <c r="P14" i="40"/>
  <c r="P15" i="40"/>
  <c r="P16" i="40"/>
  <c r="Q2" i="40"/>
  <c r="Q3" i="40"/>
  <c r="Q4" i="40"/>
  <c r="Q5" i="40"/>
  <c r="Q14" i="40"/>
  <c r="R2" i="40"/>
  <c r="R3" i="40"/>
  <c r="R4" i="40"/>
  <c r="R5" i="40"/>
  <c r="R10" i="40"/>
  <c r="R14" i="40"/>
  <c r="R17" i="40"/>
  <c r="S2" i="40"/>
  <c r="S3" i="40"/>
  <c r="S10" i="40"/>
  <c r="S11" i="40"/>
  <c r="S17" i="40"/>
  <c r="T2" i="40"/>
  <c r="T3" i="40"/>
  <c r="T4" i="40"/>
  <c r="T10" i="40"/>
  <c r="T11" i="40"/>
  <c r="U2" i="40"/>
  <c r="U3" i="40"/>
  <c r="U6" i="40"/>
  <c r="U10" i="40"/>
  <c r="U11" i="40"/>
  <c r="U13" i="40"/>
  <c r="V2" i="40"/>
  <c r="V3" i="40"/>
  <c r="V10" i="40"/>
  <c r="V11" i="40"/>
  <c r="V13" i="40"/>
  <c r="W2" i="40"/>
  <c r="W3" i="40"/>
  <c r="W10" i="40"/>
  <c r="W11" i="40"/>
  <c r="W13" i="40"/>
  <c r="W16" i="40"/>
  <c r="P27" i="40"/>
  <c r="Q27" i="40" s="1"/>
  <c r="R27" i="40" s="1"/>
  <c r="S27" i="40" s="1"/>
  <c r="T27" i="40" s="1"/>
  <c r="U27" i="40" s="1"/>
  <c r="V27" i="40" s="1"/>
  <c r="W27" i="40" s="1"/>
  <c r="X27" i="40" s="1"/>
  <c r="Y27" i="40" s="1"/>
  <c r="AD10" i="2"/>
  <c r="AD9" i="2"/>
  <c r="AD7" i="2"/>
  <c r="AD3" i="2"/>
  <c r="AD2" i="2"/>
  <c r="P20" i="38"/>
  <c r="P11" i="38"/>
  <c r="P6" i="38"/>
  <c r="P2" i="38"/>
  <c r="L13" i="24"/>
  <c r="L12" i="24"/>
  <c r="L8" i="24"/>
  <c r="L3" i="24"/>
  <c r="L2" i="24"/>
  <c r="R5" i="30"/>
  <c r="Q5" i="30"/>
  <c r="S25" i="30"/>
  <c r="S24" i="30"/>
  <c r="S21" i="30"/>
  <c r="S19" i="30"/>
  <c r="S18" i="30"/>
  <c r="S11" i="30"/>
  <c r="S6" i="30"/>
  <c r="S3" i="30"/>
  <c r="S28" i="30"/>
  <c r="S27" i="30"/>
  <c r="R27" i="30"/>
  <c r="Q27" i="30"/>
  <c r="AD31" i="16"/>
  <c r="AE2" i="16"/>
  <c r="AE3" i="16"/>
  <c r="AE4" i="16"/>
  <c r="AE5" i="16"/>
  <c r="AF2" i="16"/>
  <c r="AF3" i="16"/>
  <c r="AF4" i="16"/>
  <c r="AF5" i="16"/>
  <c r="AG2" i="16"/>
  <c r="AG3" i="16"/>
  <c r="AG4" i="16"/>
  <c r="AG5" i="16"/>
  <c r="AH2" i="16"/>
  <c r="AH3" i="16"/>
  <c r="AH4" i="16"/>
  <c r="AH6" i="16"/>
  <c r="AI2" i="16"/>
  <c r="AI3" i="16"/>
  <c r="AI4" i="16"/>
  <c r="AI6" i="16"/>
  <c r="AI8" i="16"/>
  <c r="AJ2" i="16"/>
  <c r="AJ3" i="16"/>
  <c r="AJ4" i="16"/>
  <c r="AJ6" i="16"/>
  <c r="AJ8" i="16"/>
  <c r="AK2" i="16"/>
  <c r="AK3" i="16"/>
  <c r="AK27" i="16" s="1"/>
  <c r="AK4" i="16"/>
  <c r="AK8" i="16"/>
  <c r="AL2" i="16"/>
  <c r="AL3" i="16"/>
  <c r="AL4" i="16"/>
  <c r="AL8" i="16"/>
  <c r="AM2" i="16"/>
  <c r="AM3" i="16"/>
  <c r="AM4" i="16"/>
  <c r="AM8" i="16"/>
  <c r="AN2" i="16"/>
  <c r="AN3" i="16"/>
  <c r="AN4" i="16"/>
  <c r="AN8" i="16"/>
  <c r="AN9" i="16"/>
  <c r="AO2" i="16"/>
  <c r="AO3" i="16"/>
  <c r="AO4" i="16"/>
  <c r="AO8" i="16"/>
  <c r="AO9" i="16"/>
  <c r="AP2" i="16"/>
  <c r="AP3" i="16"/>
  <c r="AP4" i="16"/>
  <c r="AP8" i="16"/>
  <c r="AQ2" i="16"/>
  <c r="AQ3" i="16"/>
  <c r="AQ4" i="16"/>
  <c r="AQ8" i="16"/>
  <c r="AR2" i="16"/>
  <c r="AR3" i="16"/>
  <c r="AR4" i="16"/>
  <c r="AR8" i="16"/>
  <c r="AR11" i="16"/>
  <c r="AR12" i="16"/>
  <c r="AS2" i="16"/>
  <c r="AS3" i="16"/>
  <c r="AS4" i="16"/>
  <c r="AS8" i="16"/>
  <c r="AS12" i="16"/>
  <c r="AT2" i="16"/>
  <c r="AT3" i="16"/>
  <c r="AT4" i="16"/>
  <c r="AT8" i="16"/>
  <c r="AT12" i="16"/>
  <c r="AU2" i="16"/>
  <c r="AU3" i="16"/>
  <c r="AU27" i="16"/>
  <c r="AV2" i="16"/>
  <c r="AV3" i="16"/>
  <c r="AV14" i="16"/>
  <c r="AV17" i="16"/>
  <c r="AV26" i="16"/>
  <c r="AW2" i="16"/>
  <c r="AW3" i="16"/>
  <c r="AW14" i="16"/>
  <c r="AW17" i="16"/>
  <c r="AW26" i="16"/>
  <c r="AX2" i="16"/>
  <c r="AX3" i="16"/>
  <c r="AX14" i="16"/>
  <c r="AX17" i="16"/>
  <c r="AX26" i="16"/>
  <c r="AX27" i="16"/>
  <c r="AY2" i="16"/>
  <c r="AY3" i="16"/>
  <c r="AY14" i="16"/>
  <c r="AY17" i="16"/>
  <c r="AZ2" i="16"/>
  <c r="AZ3" i="16"/>
  <c r="AZ14" i="16"/>
  <c r="AZ17" i="16"/>
  <c r="AZ18" i="16"/>
  <c r="AZ19" i="16"/>
  <c r="AZ20" i="16"/>
  <c r="AE33" i="16"/>
  <c r="AF33" i="16" s="1"/>
  <c r="AG33" i="16" s="1"/>
  <c r="AH33" i="16" s="1"/>
  <c r="AI33" i="16" s="1"/>
  <c r="AJ33" i="16" s="1"/>
  <c r="AK33" i="16" s="1"/>
  <c r="AL33" i="16" s="1"/>
  <c r="AM33" i="16" s="1"/>
  <c r="AN33" i="16" s="1"/>
  <c r="AO33" i="16" s="1"/>
  <c r="AP33" i="16" s="1"/>
  <c r="AQ33" i="16" s="1"/>
  <c r="AR33" i="16" s="1"/>
  <c r="AS33" i="16" s="1"/>
  <c r="AT33" i="16" s="1"/>
  <c r="AU33" i="16" s="1"/>
  <c r="AV33" i="16" s="1"/>
  <c r="AW33" i="16" s="1"/>
  <c r="AX33" i="16" s="1"/>
  <c r="AY33" i="16" s="1"/>
  <c r="AZ33" i="16" s="1"/>
  <c r="BA33" i="16" s="1"/>
  <c r="BB33" i="16" s="1"/>
  <c r="L16" i="32"/>
  <c r="L11" i="32"/>
  <c r="L8" i="32"/>
  <c r="L4" i="32"/>
  <c r="L2" i="32"/>
  <c r="L17" i="32" s="1"/>
  <c r="V13" i="10"/>
  <c r="U13" i="10"/>
  <c r="T13" i="10"/>
  <c r="S13" i="10"/>
  <c r="V14" i="10"/>
  <c r="V4" i="10"/>
  <c r="V5" i="10"/>
  <c r="V3" i="10"/>
  <c r="N15" i="10"/>
  <c r="Q15" i="29"/>
  <c r="Q8" i="29"/>
  <c r="Q9" i="29"/>
  <c r="Q10" i="29"/>
  <c r="Q3" i="29"/>
  <c r="Q2" i="29"/>
  <c r="Q16" i="29" s="1"/>
  <c r="T21" i="41"/>
  <c r="T17" i="41"/>
  <c r="T12" i="41"/>
  <c r="T9" i="41"/>
  <c r="T3" i="41"/>
  <c r="T4" i="41"/>
  <c r="T2" i="41"/>
  <c r="T11" i="41"/>
  <c r="AH25" i="53"/>
  <c r="AH29" i="53" s="1"/>
  <c r="AH34" i="53" s="1"/>
  <c r="BJ3" i="53"/>
  <c r="BJ4" i="53"/>
  <c r="BJ2" i="53"/>
  <c r="BI3" i="53"/>
  <c r="BI4" i="53"/>
  <c r="BI2" i="53"/>
  <c r="BH3" i="53"/>
  <c r="BH4" i="53"/>
  <c r="BH2" i="53"/>
  <c r="BG3" i="53"/>
  <c r="BG4" i="53"/>
  <c r="BG2" i="53"/>
  <c r="BF3" i="53"/>
  <c r="BF4" i="53"/>
  <c r="BF2" i="53"/>
  <c r="BE3" i="53"/>
  <c r="BE4" i="53"/>
  <c r="BE2" i="53"/>
  <c r="BD3" i="53"/>
  <c r="BD4" i="53"/>
  <c r="BD2" i="53"/>
  <c r="BC3" i="53"/>
  <c r="BC4" i="53"/>
  <c r="BC2" i="53"/>
  <c r="BB3" i="53"/>
  <c r="BB4" i="53"/>
  <c r="BB2" i="53"/>
  <c r="BA3" i="53"/>
  <c r="BA4" i="53"/>
  <c r="BA2" i="53"/>
  <c r="AZ3" i="53"/>
  <c r="AZ4" i="53"/>
  <c r="AZ2" i="53"/>
  <c r="AY3" i="53"/>
  <c r="AY4" i="53"/>
  <c r="AY2" i="53"/>
  <c r="AX3" i="53"/>
  <c r="AX4" i="53"/>
  <c r="AX2" i="53"/>
  <c r="AW3" i="53"/>
  <c r="AW4" i="53"/>
  <c r="AW2" i="53"/>
  <c r="AV3" i="53"/>
  <c r="AV4" i="53"/>
  <c r="AV2" i="53"/>
  <c r="AU3" i="53"/>
  <c r="AU4" i="53"/>
  <c r="AU2" i="53"/>
  <c r="AT3" i="53"/>
  <c r="AT4" i="53"/>
  <c r="AT2" i="53"/>
  <c r="AI31" i="53"/>
  <c r="AJ31" i="53" s="1"/>
  <c r="AK31" i="53" s="1"/>
  <c r="AL31" i="53" s="1"/>
  <c r="AM31" i="53" s="1"/>
  <c r="AN31" i="53" s="1"/>
  <c r="AO31" i="53" s="1"/>
  <c r="AP31" i="53" s="1"/>
  <c r="AQ31" i="53" s="1"/>
  <c r="AR31" i="53" s="1"/>
  <c r="AS31" i="53" s="1"/>
  <c r="AT31" i="53" s="1"/>
  <c r="AU31" i="53" s="1"/>
  <c r="AV31" i="53" s="1"/>
  <c r="AW31" i="53" s="1"/>
  <c r="AX31" i="53" s="1"/>
  <c r="AY31" i="53" s="1"/>
  <c r="AZ31" i="53" s="1"/>
  <c r="BA31" i="53" s="1"/>
  <c r="BB31" i="53" s="1"/>
  <c r="BC31" i="53" s="1"/>
  <c r="BD31" i="53" s="1"/>
  <c r="BE31" i="53" s="1"/>
  <c r="BF31" i="53" s="1"/>
  <c r="BG31" i="53" s="1"/>
  <c r="BH31" i="53" s="1"/>
  <c r="BI31" i="53" s="1"/>
  <c r="BJ31" i="53" s="1"/>
  <c r="BK31" i="53" s="1"/>
  <c r="BJ21" i="53"/>
  <c r="BJ24" i="53"/>
  <c r="BJ23" i="53"/>
  <c r="BJ22" i="53"/>
  <c r="BJ20" i="53"/>
  <c r="BJ19" i="53"/>
  <c r="BJ18" i="53"/>
  <c r="BJ17" i="53"/>
  <c r="BJ15" i="53"/>
  <c r="BJ14" i="53"/>
  <c r="BJ11" i="53"/>
  <c r="BI24" i="53"/>
  <c r="BI22" i="53"/>
  <c r="BI20" i="53"/>
  <c r="BI19" i="53"/>
  <c r="BI18" i="53"/>
  <c r="BI17" i="53"/>
  <c r="BI15" i="53"/>
  <c r="BI14" i="53"/>
  <c r="BI6" i="53"/>
  <c r="BH23" i="53"/>
  <c r="BI23" i="53"/>
  <c r="BH20" i="53"/>
  <c r="BH19" i="53"/>
  <c r="BH18" i="53"/>
  <c r="BH17" i="53"/>
  <c r="BH15" i="53"/>
  <c r="BH14" i="53"/>
  <c r="BH6" i="53"/>
  <c r="BG23" i="53"/>
  <c r="BG20" i="53"/>
  <c r="BG19" i="53"/>
  <c r="BG18" i="53"/>
  <c r="BG17" i="53"/>
  <c r="BG15" i="53"/>
  <c r="BG14" i="53"/>
  <c r="BG6" i="53"/>
  <c r="BF23" i="53"/>
  <c r="BF20" i="53"/>
  <c r="BF19" i="53"/>
  <c r="BF18" i="53"/>
  <c r="BF17" i="53"/>
  <c r="BF15" i="53"/>
  <c r="BF14" i="53"/>
  <c r="BF10" i="53"/>
  <c r="BF6" i="53"/>
  <c r="BE23" i="53"/>
  <c r="BE20" i="53"/>
  <c r="BE19" i="53"/>
  <c r="BE18" i="53"/>
  <c r="BE17" i="53"/>
  <c r="BE15" i="53"/>
  <c r="BE10" i="53"/>
  <c r="BE6" i="53"/>
  <c r="BD12" i="53"/>
  <c r="BC12" i="53"/>
  <c r="BD20" i="53"/>
  <c r="BD19" i="53"/>
  <c r="BD18" i="53"/>
  <c r="BD17" i="53"/>
  <c r="BD15" i="53"/>
  <c r="BD13" i="53"/>
  <c r="BD11" i="53"/>
  <c r="BD10" i="53"/>
  <c r="BD6" i="53"/>
  <c r="BC20" i="53"/>
  <c r="BB19" i="53"/>
  <c r="BC19" i="53"/>
  <c r="BC18" i="53"/>
  <c r="BC17" i="53"/>
  <c r="BC15" i="53"/>
  <c r="BC13" i="53"/>
  <c r="BC11" i="53"/>
  <c r="BC10" i="53"/>
  <c r="BC6" i="53"/>
  <c r="BB20" i="53"/>
  <c r="BB18" i="53"/>
  <c r="BB17" i="53"/>
  <c r="BB15" i="53"/>
  <c r="BB13" i="53"/>
  <c r="BB11" i="53"/>
  <c r="BB10" i="53"/>
  <c r="BB6" i="53"/>
  <c r="BA20" i="53"/>
  <c r="BA18" i="53"/>
  <c r="BA17" i="53"/>
  <c r="BA15" i="53"/>
  <c r="BA13" i="53"/>
  <c r="BA11" i="53"/>
  <c r="BA10" i="53"/>
  <c r="BA6" i="53"/>
  <c r="AZ18" i="53"/>
  <c r="AZ15" i="53"/>
  <c r="AZ13" i="53"/>
  <c r="AZ12" i="53"/>
  <c r="AZ11" i="53"/>
  <c r="AZ10" i="53"/>
  <c r="AZ6" i="53"/>
  <c r="AY15" i="53"/>
  <c r="AY13" i="53"/>
  <c r="AY12" i="53"/>
  <c r="AY11" i="53"/>
  <c r="AY10" i="53"/>
  <c r="AY6" i="53"/>
  <c r="AX15" i="53"/>
  <c r="AX13" i="53"/>
  <c r="AX12" i="53"/>
  <c r="AX11" i="53"/>
  <c r="AX10" i="53"/>
  <c r="AX6" i="53"/>
  <c r="AW12" i="53"/>
  <c r="AW11" i="53"/>
  <c r="AW10" i="53"/>
  <c r="AW6" i="53"/>
  <c r="AV11" i="53"/>
  <c r="AV10" i="53"/>
  <c r="AV6" i="53"/>
  <c r="AU10" i="53"/>
  <c r="AU6" i="53"/>
  <c r="AT6" i="53"/>
  <c r="AT10" i="53"/>
  <c r="AS6" i="53"/>
  <c r="AS3" i="53"/>
  <c r="AS4" i="53"/>
  <c r="AS2" i="53"/>
  <c r="AR3" i="53"/>
  <c r="AR4" i="53"/>
  <c r="AR2" i="53"/>
  <c r="AR6" i="53"/>
  <c r="AQ3" i="53"/>
  <c r="AQ4" i="53"/>
  <c r="AQ2" i="53"/>
  <c r="AQ6" i="53"/>
  <c r="AP3" i="53"/>
  <c r="AP4" i="53"/>
  <c r="AP2" i="53"/>
  <c r="AO6" i="53"/>
  <c r="AO3" i="53"/>
  <c r="AO4" i="53"/>
  <c r="AO2" i="53"/>
  <c r="AN8" i="53"/>
  <c r="AM8" i="53"/>
  <c r="AL8" i="53"/>
  <c r="AK8" i="53"/>
  <c r="AJ8" i="53"/>
  <c r="AI8" i="53"/>
  <c r="K18" i="34"/>
  <c r="K22" i="34" s="1"/>
  <c r="L2" i="34"/>
  <c r="L3" i="34"/>
  <c r="L4" i="34"/>
  <c r="L5" i="34"/>
  <c r="L6" i="34"/>
  <c r="M2" i="34"/>
  <c r="M3" i="34"/>
  <c r="M7" i="34"/>
  <c r="M8" i="34"/>
  <c r="M9" i="34"/>
  <c r="M12" i="34"/>
  <c r="N2" i="34"/>
  <c r="N3" i="34"/>
  <c r="N4" i="34"/>
  <c r="N6" i="34"/>
  <c r="N7" i="34"/>
  <c r="N8" i="34"/>
  <c r="N9" i="34"/>
  <c r="N10" i="34"/>
  <c r="N11" i="34"/>
  <c r="N12" i="34"/>
  <c r="N13" i="34"/>
  <c r="N14" i="34"/>
  <c r="N15" i="34"/>
  <c r="N16" i="34"/>
  <c r="O2" i="34"/>
  <c r="O3" i="34"/>
  <c r="O4" i="34"/>
  <c r="O7" i="34"/>
  <c r="O8" i="34"/>
  <c r="O10" i="34"/>
  <c r="O12" i="34"/>
  <c r="O13" i="34"/>
  <c r="O15" i="34"/>
  <c r="O16" i="34"/>
  <c r="P2" i="34"/>
  <c r="P3" i="34"/>
  <c r="P4" i="34"/>
  <c r="P7" i="34"/>
  <c r="P8" i="34"/>
  <c r="P15" i="34"/>
  <c r="P16" i="34"/>
  <c r="P17" i="34"/>
  <c r="L24" i="34"/>
  <c r="M24" i="34"/>
  <c r="N24" i="34" s="1"/>
  <c r="O24" i="34" s="1"/>
  <c r="P24" i="34" s="1"/>
  <c r="W3" i="64"/>
  <c r="W4" i="64"/>
  <c r="W6" i="64"/>
  <c r="W7" i="64"/>
  <c r="W8" i="64"/>
  <c r="W9" i="64"/>
  <c r="W10" i="64"/>
  <c r="X3" i="64"/>
  <c r="X4" i="64"/>
  <c r="X6" i="64"/>
  <c r="X7" i="64"/>
  <c r="X8" i="64"/>
  <c r="X9" i="64"/>
  <c r="X10" i="64"/>
  <c r="Y3" i="64"/>
  <c r="Y4" i="64"/>
  <c r="Y6" i="64"/>
  <c r="Y7" i="64"/>
  <c r="Y9" i="64"/>
  <c r="Y10" i="64"/>
  <c r="Z3" i="64"/>
  <c r="Z4" i="64"/>
  <c r="Z6" i="64"/>
  <c r="Z7" i="64"/>
  <c r="Z9" i="64"/>
  <c r="Z10" i="64"/>
  <c r="AA3" i="64"/>
  <c r="AA4" i="64"/>
  <c r="AA6" i="64"/>
  <c r="AA7" i="64"/>
  <c r="AA9" i="64"/>
  <c r="AA10" i="64"/>
  <c r="AB3" i="64"/>
  <c r="AB4" i="64"/>
  <c r="AB6" i="64"/>
  <c r="AB7" i="64"/>
  <c r="AB9" i="64"/>
  <c r="AB10" i="64"/>
  <c r="AC3" i="64"/>
  <c r="AC4" i="64"/>
  <c r="AC6" i="64"/>
  <c r="AC7" i="64"/>
  <c r="AC9" i="64"/>
  <c r="AC10" i="64"/>
  <c r="AD3" i="64"/>
  <c r="AD4" i="64"/>
  <c r="AD6" i="64"/>
  <c r="AD7" i="64"/>
  <c r="AD9" i="64"/>
  <c r="AD10" i="64"/>
  <c r="AE3" i="64"/>
  <c r="AE4" i="64"/>
  <c r="AE6" i="64"/>
  <c r="AE7" i="64"/>
  <c r="AE9" i="64"/>
  <c r="AE10" i="64"/>
  <c r="AF3" i="64"/>
  <c r="AF4" i="64"/>
  <c r="AF6" i="64"/>
  <c r="AF7" i="64"/>
  <c r="AF9" i="64"/>
  <c r="AF10" i="64"/>
  <c r="AG3" i="64"/>
  <c r="AG4" i="64"/>
  <c r="AG6" i="64"/>
  <c r="AG10" i="64"/>
  <c r="W37" i="64"/>
  <c r="X37" i="64" s="1"/>
  <c r="Y37" i="64" s="1"/>
  <c r="Z37" i="64" s="1"/>
  <c r="AA37" i="64" s="1"/>
  <c r="AB37" i="64" s="1"/>
  <c r="AC37" i="64" s="1"/>
  <c r="AD37" i="64" s="1"/>
  <c r="AE37" i="64" s="1"/>
  <c r="AF37" i="64" s="1"/>
  <c r="AG37" i="64" s="1"/>
  <c r="AH37" i="64" s="1"/>
  <c r="AI37" i="64" s="1"/>
  <c r="AJ37" i="64" s="1"/>
  <c r="AK37" i="64" s="1"/>
  <c r="AL37" i="64" s="1"/>
  <c r="AM37" i="64" s="1"/>
  <c r="AL14" i="64"/>
  <c r="AL15" i="64"/>
  <c r="AL26" i="64"/>
  <c r="AL28" i="64"/>
  <c r="AL30" i="64"/>
  <c r="AK22" i="64"/>
  <c r="AK15" i="64"/>
  <c r="AK14" i="64"/>
  <c r="AJ22" i="64"/>
  <c r="AJ18" i="64"/>
  <c r="AJ15" i="64"/>
  <c r="AJ14" i="64"/>
  <c r="AJ10" i="64"/>
  <c r="AI21" i="64"/>
  <c r="AI18" i="64"/>
  <c r="AI15" i="64"/>
  <c r="AI14" i="64"/>
  <c r="AI10" i="64"/>
  <c r="AI3" i="64"/>
  <c r="AK28" i="64"/>
  <c r="AK26" i="64"/>
  <c r="AH17" i="64"/>
  <c r="AG17" i="64"/>
  <c r="AH21" i="64"/>
  <c r="AH18" i="64"/>
  <c r="AH15" i="64"/>
  <c r="AH14" i="64"/>
  <c r="AG15" i="64"/>
  <c r="AG14" i="64"/>
  <c r="AH3" i="64"/>
  <c r="AG2" i="64"/>
  <c r="AF2" i="64"/>
  <c r="AE2" i="64"/>
  <c r="AE11" i="64"/>
  <c r="AD11" i="64"/>
  <c r="AD2" i="64"/>
  <c r="AC11" i="64"/>
  <c r="AC2" i="64"/>
  <c r="AB11" i="64"/>
  <c r="AB2" i="64"/>
  <c r="AA13" i="64"/>
  <c r="AA2" i="64"/>
  <c r="Z2" i="64"/>
  <c r="Y2" i="64"/>
  <c r="X2" i="64"/>
  <c r="W2" i="64"/>
  <c r="Q14" i="28"/>
  <c r="Q16" i="28"/>
  <c r="N27" i="28"/>
  <c r="O27" i="28"/>
  <c r="P27" i="28" s="1"/>
  <c r="Q27" i="28" s="1"/>
  <c r="R27" i="28" s="1"/>
  <c r="S27" i="28" s="1"/>
  <c r="T27" i="28" s="1"/>
  <c r="S2" i="28"/>
  <c r="S5" i="28"/>
  <c r="S13" i="28"/>
  <c r="R5" i="28"/>
  <c r="R2" i="28"/>
  <c r="Q13" i="28"/>
  <c r="Q5" i="28"/>
  <c r="Q2" i="28"/>
  <c r="O16" i="28"/>
  <c r="P16" i="28"/>
  <c r="P5" i="28"/>
  <c r="P3" i="28"/>
  <c r="P2" i="28"/>
  <c r="O6" i="28"/>
  <c r="O5" i="28"/>
  <c r="O2" i="28"/>
  <c r="N8" i="28"/>
  <c r="N12" i="28"/>
  <c r="N6" i="28"/>
  <c r="N5" i="28"/>
  <c r="N2" i="28"/>
  <c r="S7" i="10"/>
  <c r="T6" i="10"/>
  <c r="S6" i="10"/>
  <c r="M11" i="44"/>
  <c r="L11" i="44"/>
  <c r="AE8" i="56"/>
  <c r="AD8" i="56"/>
  <c r="AC8" i="56"/>
  <c r="AB16" i="70"/>
  <c r="Y6" i="70"/>
  <c r="X6" i="70"/>
  <c r="W6" i="70"/>
  <c r="V6" i="70"/>
  <c r="U6" i="70"/>
  <c r="T6" i="70"/>
  <c r="S7" i="70"/>
  <c r="AK15" i="58"/>
  <c r="AJ14" i="58"/>
  <c r="AP15" i="58"/>
  <c r="AO15" i="58"/>
  <c r="AN15" i="58"/>
  <c r="AM15" i="58"/>
  <c r="AL15" i="58"/>
  <c r="AV7" i="59"/>
  <c r="AU7" i="59"/>
  <c r="AT7" i="59"/>
  <c r="BK8" i="59"/>
  <c r="BJ8" i="59"/>
  <c r="BI8" i="59"/>
  <c r="BH8" i="59"/>
  <c r="BG8" i="59"/>
  <c r="BF8" i="59"/>
  <c r="BE8" i="59"/>
  <c r="BD8" i="59"/>
  <c r="U18" i="37"/>
  <c r="T18" i="37"/>
  <c r="R11" i="30"/>
  <c r="Q11" i="30"/>
  <c r="O2" i="30"/>
  <c r="R26" i="14"/>
  <c r="R7" i="33"/>
  <c r="Q7" i="33"/>
  <c r="P7" i="33"/>
  <c r="O7" i="33"/>
  <c r="BU14" i="63"/>
  <c r="BT14" i="63"/>
  <c r="BS14" i="63"/>
  <c r="BR14" i="63"/>
  <c r="BQ14" i="63"/>
  <c r="BP14" i="63"/>
  <c r="BO14" i="63"/>
  <c r="BN14" i="63"/>
  <c r="S3" i="66"/>
  <c r="R3" i="66"/>
  <c r="Q3" i="66"/>
  <c r="P3" i="66"/>
  <c r="AH11" i="25"/>
  <c r="AI11" i="25"/>
  <c r="AJ11" i="25"/>
  <c r="AK11" i="25"/>
  <c r="W29" i="25"/>
  <c r="X29" i="25" s="1"/>
  <c r="Y29" i="25" s="1"/>
  <c r="Z29" i="25" s="1"/>
  <c r="AA29" i="25" s="1"/>
  <c r="AB29" i="25" s="1"/>
  <c r="AC29" i="25" s="1"/>
  <c r="AD29" i="25" s="1"/>
  <c r="AE29" i="25" s="1"/>
  <c r="AF29" i="25" s="1"/>
  <c r="AG29" i="25" s="1"/>
  <c r="AH29" i="25" s="1"/>
  <c r="AI29" i="25" s="1"/>
  <c r="AJ29" i="25" s="1"/>
  <c r="AK29" i="25" s="1"/>
  <c r="AL29" i="25" s="1"/>
  <c r="AK16" i="25"/>
  <c r="AJ16" i="25"/>
  <c r="AI16" i="25"/>
  <c r="AK15" i="25"/>
  <c r="AJ15" i="25"/>
  <c r="AI15" i="25"/>
  <c r="AH15" i="25"/>
  <c r="AG15" i="25"/>
  <c r="AF8" i="25"/>
  <c r="AK6" i="25"/>
  <c r="AK4" i="25"/>
  <c r="AJ6" i="25"/>
  <c r="AJ4" i="25"/>
  <c r="AJ23" i="25" s="1"/>
  <c r="AI6" i="25"/>
  <c r="AI4" i="25"/>
  <c r="AH4" i="25"/>
  <c r="AG6" i="25"/>
  <c r="AG4" i="25"/>
  <c r="AF6" i="25"/>
  <c r="AF4" i="25"/>
  <c r="AE6" i="25"/>
  <c r="AE4" i="25"/>
  <c r="AK3" i="25"/>
  <c r="AK2" i="25"/>
  <c r="AJ3" i="25"/>
  <c r="AJ2" i="25"/>
  <c r="AI3" i="25"/>
  <c r="AI2" i="25"/>
  <c r="AH3" i="25"/>
  <c r="AH2" i="25"/>
  <c r="AG3" i="25"/>
  <c r="AG2" i="25"/>
  <c r="AF3" i="25"/>
  <c r="AF2" i="25"/>
  <c r="AE3" i="25"/>
  <c r="AE2" i="25"/>
  <c r="AD7" i="25"/>
  <c r="AD6" i="25"/>
  <c r="AD4" i="25"/>
  <c r="AD3" i="25"/>
  <c r="AD2" i="25"/>
  <c r="AC6" i="25"/>
  <c r="AC4" i="25"/>
  <c r="AC3" i="25"/>
  <c r="AC2" i="25"/>
  <c r="AC23" i="25" s="1"/>
  <c r="AB6" i="25"/>
  <c r="AB4" i="25"/>
  <c r="AB3" i="25"/>
  <c r="AB2" i="25"/>
  <c r="AA6" i="25"/>
  <c r="AA4" i="25"/>
  <c r="AA3" i="25"/>
  <c r="AA2" i="25"/>
  <c r="Z6" i="25"/>
  <c r="Z4" i="25"/>
  <c r="Z3" i="25"/>
  <c r="Z2" i="25"/>
  <c r="X20" i="25"/>
  <c r="Y6" i="25"/>
  <c r="Y4" i="25"/>
  <c r="Y3" i="25"/>
  <c r="Y2" i="25"/>
  <c r="Y23" i="25" s="1"/>
  <c r="X3" i="25"/>
  <c r="X23" i="25" s="1"/>
  <c r="X2" i="25"/>
  <c r="W21" i="25"/>
  <c r="W20" i="25"/>
  <c r="W3" i="25"/>
  <c r="W2" i="25"/>
  <c r="AB19" i="25"/>
  <c r="AI19" i="59"/>
  <c r="AI23" i="59" s="1"/>
  <c r="AJ25" i="59"/>
  <c r="AK25" i="59" s="1"/>
  <c r="AL25" i="59" s="1"/>
  <c r="AM25" i="59" s="1"/>
  <c r="AN25" i="59" s="1"/>
  <c r="AO25" i="59" s="1"/>
  <c r="AP25" i="59" s="1"/>
  <c r="AQ25" i="59" s="1"/>
  <c r="AR25" i="59" s="1"/>
  <c r="AS25" i="59" s="1"/>
  <c r="AT25" i="59" s="1"/>
  <c r="AU25" i="59" s="1"/>
  <c r="AV25" i="59" s="1"/>
  <c r="AW25" i="59" s="1"/>
  <c r="AX25" i="59" s="1"/>
  <c r="AY25" i="59" s="1"/>
  <c r="AZ25" i="59" s="1"/>
  <c r="BA25" i="59" s="1"/>
  <c r="BB25" i="59" s="1"/>
  <c r="BC25" i="59" s="1"/>
  <c r="BD25" i="59" s="1"/>
  <c r="BE25" i="59" s="1"/>
  <c r="BF25" i="59" s="1"/>
  <c r="BG25" i="59" s="1"/>
  <c r="BH25" i="59" s="1"/>
  <c r="BI25" i="59" s="1"/>
  <c r="BJ25" i="59" s="1"/>
  <c r="BK25" i="59" s="1"/>
  <c r="BL25" i="59" s="1"/>
  <c r="BK5" i="59"/>
  <c r="BJ5" i="59"/>
  <c r="BI5" i="59"/>
  <c r="BH5" i="59"/>
  <c r="BG5" i="59"/>
  <c r="BF5" i="59"/>
  <c r="BE5" i="59"/>
  <c r="BD5" i="59"/>
  <c r="BK3" i="59"/>
  <c r="BJ3" i="59"/>
  <c r="BI3" i="59"/>
  <c r="BH3" i="59"/>
  <c r="BG3" i="59"/>
  <c r="BF3" i="59"/>
  <c r="BE3" i="59"/>
  <c r="BD3" i="59"/>
  <c r="BC5" i="59"/>
  <c r="BC3" i="59"/>
  <c r="BB5" i="59"/>
  <c r="BA5" i="59"/>
  <c r="AZ5" i="59"/>
  <c r="AY5" i="59"/>
  <c r="BB3" i="59"/>
  <c r="BA3" i="59"/>
  <c r="AZ3" i="59"/>
  <c r="AY3" i="59"/>
  <c r="BH18" i="59"/>
  <c r="BG18" i="59"/>
  <c r="BF18" i="59"/>
  <c r="BE18" i="59"/>
  <c r="BK16" i="59"/>
  <c r="BJ16" i="59"/>
  <c r="BI16" i="59"/>
  <c r="BH16" i="59"/>
  <c r="BG16" i="59"/>
  <c r="BF16" i="59"/>
  <c r="BE16" i="59"/>
  <c r="BD16" i="59"/>
  <c r="BK15" i="59"/>
  <c r="BJ15" i="59"/>
  <c r="BI15" i="59"/>
  <c r="BH15" i="59"/>
  <c r="BG15" i="59"/>
  <c r="BF15" i="59"/>
  <c r="BE15" i="59"/>
  <c r="BD15" i="59"/>
  <c r="BC15" i="59"/>
  <c r="BB15" i="59"/>
  <c r="BA15" i="59"/>
  <c r="AZ15" i="59"/>
  <c r="AW14" i="59"/>
  <c r="AV14" i="59"/>
  <c r="AU14" i="59"/>
  <c r="AT14" i="59"/>
  <c r="AS14" i="59"/>
  <c r="AV13" i="59"/>
  <c r="AU13" i="59"/>
  <c r="AT13" i="59"/>
  <c r="AS13" i="59"/>
  <c r="AR13" i="59"/>
  <c r="AQ13" i="59"/>
  <c r="BK12" i="59"/>
  <c r="BJ12" i="59"/>
  <c r="BI12" i="59"/>
  <c r="BH12" i="59"/>
  <c r="BG12" i="59"/>
  <c r="BF12" i="59"/>
  <c r="BE12" i="59"/>
  <c r="BD12" i="59"/>
  <c r="BC12" i="59"/>
  <c r="BB12" i="59"/>
  <c r="BA12" i="59"/>
  <c r="AZ12" i="59"/>
  <c r="AY12" i="59"/>
  <c r="AX12" i="59"/>
  <c r="AW12" i="59"/>
  <c r="AV12" i="59"/>
  <c r="AU12" i="59"/>
  <c r="AT12" i="59"/>
  <c r="AS12" i="59"/>
  <c r="AR12" i="59"/>
  <c r="AQ12" i="59"/>
  <c r="AP12" i="59"/>
  <c r="AO12" i="59"/>
  <c r="AX5" i="59"/>
  <c r="AX3" i="59"/>
  <c r="AW5" i="59"/>
  <c r="AW3" i="59"/>
  <c r="AV5" i="59"/>
  <c r="AV3" i="59"/>
  <c r="AU5" i="59"/>
  <c r="AU3" i="59"/>
  <c r="AT5" i="59"/>
  <c r="AT3" i="59"/>
  <c r="AS5" i="59"/>
  <c r="AS3" i="59"/>
  <c r="AR5" i="59"/>
  <c r="AR3" i="59"/>
  <c r="AQ5" i="59"/>
  <c r="AQ3" i="59"/>
  <c r="AP5" i="59"/>
  <c r="AP3" i="59"/>
  <c r="AO5" i="59"/>
  <c r="AO3" i="59"/>
  <c r="AN5" i="59"/>
  <c r="AN3" i="59"/>
  <c r="AM3" i="59"/>
  <c r="AM5" i="59"/>
  <c r="AM2" i="59"/>
  <c r="AL3" i="59"/>
  <c r="AL4" i="59"/>
  <c r="AL5" i="59"/>
  <c r="AL2" i="59"/>
  <c r="AK3" i="59"/>
  <c r="AK4" i="59"/>
  <c r="AK5" i="59"/>
  <c r="AK6" i="59"/>
  <c r="AK2" i="59"/>
  <c r="AJ2" i="59"/>
  <c r="AJ3" i="59"/>
  <c r="AJ4" i="59"/>
  <c r="AJ7" i="59"/>
  <c r="BI18" i="59"/>
  <c r="AD36" i="16"/>
  <c r="R20" i="70"/>
  <c r="R24" i="70" s="1"/>
  <c r="S2" i="70"/>
  <c r="S5" i="70"/>
  <c r="S6" i="70"/>
  <c r="T2" i="70"/>
  <c r="T5" i="70"/>
  <c r="T10" i="70"/>
  <c r="T12" i="70"/>
  <c r="U2" i="70"/>
  <c r="U10" i="70"/>
  <c r="U12" i="70"/>
  <c r="U14" i="70"/>
  <c r="V2" i="70"/>
  <c r="V10" i="70"/>
  <c r="V12" i="70"/>
  <c r="V14" i="70"/>
  <c r="W2" i="70"/>
  <c r="W10" i="70"/>
  <c r="W12" i="70"/>
  <c r="W14" i="70"/>
  <c r="W16" i="70"/>
  <c r="X2" i="70"/>
  <c r="X10" i="70"/>
  <c r="X12" i="70"/>
  <c r="X14" i="70"/>
  <c r="X16" i="70"/>
  <c r="Y2" i="70"/>
  <c r="Y10" i="70"/>
  <c r="Y12" i="70"/>
  <c r="Y14" i="70"/>
  <c r="Y16" i="70"/>
  <c r="Z2" i="70"/>
  <c r="Z10" i="70"/>
  <c r="Z12" i="70"/>
  <c r="Z14" i="70"/>
  <c r="Z16" i="70"/>
  <c r="AA2" i="70"/>
  <c r="AA10" i="70"/>
  <c r="AA12" i="70"/>
  <c r="AA16" i="70"/>
  <c r="AA17" i="70"/>
  <c r="AB2" i="70"/>
  <c r="AB10" i="70"/>
  <c r="AB12" i="70"/>
  <c r="AB17" i="70"/>
  <c r="AB18" i="70"/>
  <c r="S26" i="70"/>
  <c r="T26" i="70" s="1"/>
  <c r="U26" i="70" s="1"/>
  <c r="V26" i="70" s="1"/>
  <c r="W26" i="70" s="1"/>
  <c r="X26" i="70" s="1"/>
  <c r="Y26" i="70" s="1"/>
  <c r="Z26" i="70" s="1"/>
  <c r="AA26" i="70" s="1"/>
  <c r="AB26" i="70" s="1"/>
  <c r="AC26" i="70" s="1"/>
  <c r="AD26" i="70" s="1"/>
  <c r="AE26" i="70" s="1"/>
  <c r="U20" i="77"/>
  <c r="U24" i="77"/>
  <c r="V2" i="77"/>
  <c r="V3" i="77"/>
  <c r="W2" i="77"/>
  <c r="W3" i="77"/>
  <c r="W20" i="77"/>
  <c r="X2" i="77"/>
  <c r="X3" i="77"/>
  <c r="Y2" i="77"/>
  <c r="Y3" i="77"/>
  <c r="Y20" i="77"/>
  <c r="Z3" i="77"/>
  <c r="Z20" i="77"/>
  <c r="AA3" i="77"/>
  <c r="AA4" i="77"/>
  <c r="AA5" i="77"/>
  <c r="AA6" i="77"/>
  <c r="AA7" i="77"/>
  <c r="AA8" i="77"/>
  <c r="V26" i="77"/>
  <c r="W26" i="77" s="1"/>
  <c r="X26" i="77" s="1"/>
  <c r="Y26" i="77" s="1"/>
  <c r="Z26" i="77" s="1"/>
  <c r="AA26" i="77" s="1"/>
  <c r="AB26" i="77" s="1"/>
  <c r="AC26" i="77" s="1"/>
  <c r="AD26" i="77" s="1"/>
  <c r="AE26" i="77" s="1"/>
  <c r="AF26" i="77" s="1"/>
  <c r="AG26" i="77" s="1"/>
  <c r="AH26" i="77" s="1"/>
  <c r="AI26" i="77" s="1"/>
  <c r="AJ26" i="77" s="1"/>
  <c r="AB3" i="77"/>
  <c r="AB4" i="77"/>
  <c r="AB5" i="77"/>
  <c r="AB6" i="77"/>
  <c r="AB7" i="77"/>
  <c r="AB8" i="77"/>
  <c r="AB10" i="77"/>
  <c r="AC3" i="77"/>
  <c r="AC9" i="77"/>
  <c r="AD3" i="77"/>
  <c r="AD5" i="77"/>
  <c r="AD9" i="77"/>
  <c r="AD11" i="77"/>
  <c r="AD12" i="77"/>
  <c r="AD13" i="77"/>
  <c r="AD14" i="77"/>
  <c r="AD16" i="77"/>
  <c r="AE3" i="77"/>
  <c r="AE11" i="77"/>
  <c r="AE12" i="77"/>
  <c r="AE13" i="77"/>
  <c r="AE14" i="77"/>
  <c r="AE16" i="77"/>
  <c r="AF3" i="77"/>
  <c r="AF9" i="77"/>
  <c r="AF11" i="77"/>
  <c r="AF12" i="77"/>
  <c r="AF13" i="77"/>
  <c r="AF14" i="77"/>
  <c r="AF16" i="77"/>
  <c r="AF17" i="77"/>
  <c r="AG3" i="77"/>
  <c r="AG11" i="77"/>
  <c r="AG12" i="77"/>
  <c r="AG13" i="77"/>
  <c r="AG14" i="77"/>
  <c r="AH3" i="77"/>
  <c r="AH11" i="77"/>
  <c r="AH12" i="77"/>
  <c r="AH13" i="77"/>
  <c r="AH14" i="77"/>
  <c r="AH17" i="77"/>
  <c r="AH18" i="77"/>
  <c r="AI3" i="77"/>
  <c r="AI11" i="77"/>
  <c r="AI12" i="77"/>
  <c r="AI13" i="77"/>
  <c r="AI14" i="77"/>
  <c r="AI16" i="77"/>
  <c r="AI17" i="77"/>
  <c r="AI18" i="77"/>
  <c r="AI19" i="77"/>
  <c r="AJ11" i="77"/>
  <c r="AJ12" i="77"/>
  <c r="AJ13" i="77"/>
  <c r="AJ14" i="77"/>
  <c r="AJ17" i="77"/>
  <c r="AJ18" i="77"/>
  <c r="AJ18" i="60"/>
  <c r="AJ22" i="60"/>
  <c r="AK2" i="60"/>
  <c r="AK3" i="60"/>
  <c r="AK4" i="60"/>
  <c r="AL2" i="60"/>
  <c r="AL3" i="60"/>
  <c r="AL4" i="60"/>
  <c r="AL5" i="60"/>
  <c r="AM2" i="60"/>
  <c r="AM3" i="60"/>
  <c r="AM4" i="60"/>
  <c r="AN2" i="60"/>
  <c r="AN3" i="60"/>
  <c r="AN4" i="60"/>
  <c r="AN5" i="60"/>
  <c r="AO2" i="60"/>
  <c r="AO3" i="60"/>
  <c r="AO4" i="60"/>
  <c r="AO5" i="60"/>
  <c r="AO7" i="60"/>
  <c r="AP2" i="60"/>
  <c r="AP3" i="60"/>
  <c r="AP4" i="60"/>
  <c r="AP5" i="60"/>
  <c r="AP7" i="60"/>
  <c r="AQ2" i="60"/>
  <c r="AQ3" i="60"/>
  <c r="AQ4" i="60"/>
  <c r="AQ5" i="60"/>
  <c r="AQ7" i="60"/>
  <c r="AQ8" i="60"/>
  <c r="AR2" i="60"/>
  <c r="AR3" i="60"/>
  <c r="AR4" i="60"/>
  <c r="AR5" i="60"/>
  <c r="AR6" i="60"/>
  <c r="AR7" i="60"/>
  <c r="AR9" i="60"/>
  <c r="AS2" i="60"/>
  <c r="AS3" i="60"/>
  <c r="AS4" i="60"/>
  <c r="AS5" i="60"/>
  <c r="AS6" i="60"/>
  <c r="AS7" i="60"/>
  <c r="AS9" i="60"/>
  <c r="AT2" i="60"/>
  <c r="AT3" i="60"/>
  <c r="AT4" i="60"/>
  <c r="AT5" i="60"/>
  <c r="AT6" i="60"/>
  <c r="AT7" i="60"/>
  <c r="AT9" i="60"/>
  <c r="AU2" i="60"/>
  <c r="AU3" i="60"/>
  <c r="AU4" i="60"/>
  <c r="AU5" i="60"/>
  <c r="AU6" i="60"/>
  <c r="AU7" i="60"/>
  <c r="AU9" i="60"/>
  <c r="AU10" i="60"/>
  <c r="AU11" i="60"/>
  <c r="AV2" i="60"/>
  <c r="AV3" i="60"/>
  <c r="AV4" i="60"/>
  <c r="AV7" i="60"/>
  <c r="AV9" i="60"/>
  <c r="AV11" i="60"/>
  <c r="AW2" i="60"/>
  <c r="AW3" i="60"/>
  <c r="AW4" i="60"/>
  <c r="AW7" i="60"/>
  <c r="AW9" i="60"/>
  <c r="AW10" i="60"/>
  <c r="AW11" i="60"/>
  <c r="AX2" i="60"/>
  <c r="AX3" i="60"/>
  <c r="AX4" i="60"/>
  <c r="AX7" i="60"/>
  <c r="AX9" i="60"/>
  <c r="AX11" i="60"/>
  <c r="AY2" i="60"/>
  <c r="AY3" i="60"/>
  <c r="AY4" i="60"/>
  <c r="AY7" i="60"/>
  <c r="AY9" i="60"/>
  <c r="AY11" i="60"/>
  <c r="AZ2" i="60"/>
  <c r="AZ3" i="60"/>
  <c r="AZ4" i="60"/>
  <c r="AZ7" i="60"/>
  <c r="AZ9" i="60"/>
  <c r="AZ11" i="60"/>
  <c r="BA2" i="60"/>
  <c r="BA3" i="60"/>
  <c r="BA4" i="60"/>
  <c r="BA7" i="60"/>
  <c r="BA9" i="60"/>
  <c r="BA11" i="60"/>
  <c r="BA13" i="60"/>
  <c r="BB2" i="60"/>
  <c r="BB3" i="60"/>
  <c r="BB4" i="60"/>
  <c r="BB7" i="60"/>
  <c r="BB9" i="60"/>
  <c r="BB11" i="60"/>
  <c r="BB13" i="60"/>
  <c r="BC2" i="60"/>
  <c r="BC3" i="60"/>
  <c r="BC4" i="60"/>
  <c r="BC7" i="60"/>
  <c r="BC11" i="60"/>
  <c r="BD2" i="60"/>
  <c r="BD3" i="60"/>
  <c r="BD4" i="60"/>
  <c r="BD7" i="60"/>
  <c r="BD9" i="60"/>
  <c r="BD11" i="60"/>
  <c r="BD12" i="60"/>
  <c r="BD15" i="60"/>
  <c r="BD17" i="60"/>
  <c r="BE2" i="60"/>
  <c r="BE3" i="60"/>
  <c r="BE4" i="60"/>
  <c r="BE7" i="60"/>
  <c r="BE9" i="60"/>
  <c r="BE11" i="60"/>
  <c r="BE12" i="60"/>
  <c r="BE15" i="60"/>
  <c r="BE17" i="60"/>
  <c r="BF2" i="60"/>
  <c r="BF3" i="60"/>
  <c r="BF4" i="60"/>
  <c r="BF7" i="60"/>
  <c r="BF9" i="60"/>
  <c r="BF11" i="60"/>
  <c r="BF12" i="60"/>
  <c r="BF15" i="60"/>
  <c r="BF17" i="60"/>
  <c r="BF18" i="60"/>
  <c r="BG2" i="60"/>
  <c r="BG3" i="60"/>
  <c r="BG4" i="60"/>
  <c r="BG7" i="60"/>
  <c r="BG9" i="60"/>
  <c r="BG11" i="60"/>
  <c r="BG15" i="60"/>
  <c r="BG17" i="60"/>
  <c r="BH2" i="60"/>
  <c r="BH3" i="60"/>
  <c r="BH4" i="60"/>
  <c r="BH7" i="60"/>
  <c r="BH11" i="60"/>
  <c r="BH15" i="60"/>
  <c r="BH17" i="60"/>
  <c r="BI2" i="60"/>
  <c r="BI3" i="60"/>
  <c r="BI4" i="60"/>
  <c r="BI7" i="60"/>
  <c r="BI9" i="60"/>
  <c r="BI11" i="60"/>
  <c r="BI15" i="60"/>
  <c r="BI17" i="60"/>
  <c r="BJ2" i="60"/>
  <c r="BJ3" i="60"/>
  <c r="BJ4" i="60"/>
  <c r="BJ7" i="60"/>
  <c r="BJ9" i="60"/>
  <c r="BJ11" i="60"/>
  <c r="BJ15" i="60"/>
  <c r="BJ17" i="60"/>
  <c r="BK2" i="60"/>
  <c r="BK18" i="60" s="1"/>
  <c r="BK3" i="60"/>
  <c r="BK4" i="60"/>
  <c r="BK7" i="60"/>
  <c r="BK11" i="60"/>
  <c r="BK15" i="60"/>
  <c r="BK17" i="60"/>
  <c r="BL2" i="60"/>
  <c r="BL3" i="60"/>
  <c r="BL4" i="60"/>
  <c r="BL7" i="60"/>
  <c r="BL11" i="60"/>
  <c r="BL15" i="60"/>
  <c r="BL17" i="60"/>
  <c r="BM2" i="60"/>
  <c r="BM3" i="60"/>
  <c r="BM4" i="60"/>
  <c r="BM7" i="60"/>
  <c r="BM11" i="60"/>
  <c r="BM15" i="60"/>
  <c r="BM17" i="60"/>
  <c r="AK24" i="60"/>
  <c r="AL24" i="60"/>
  <c r="AM24" i="60"/>
  <c r="AN24" i="60" s="1"/>
  <c r="AO24" i="60" s="1"/>
  <c r="AP24" i="60" s="1"/>
  <c r="AQ24" i="60" s="1"/>
  <c r="AR24" i="60" s="1"/>
  <c r="AS24" i="60" s="1"/>
  <c r="AT24" i="60" s="1"/>
  <c r="AU24" i="60" s="1"/>
  <c r="AV24" i="60" s="1"/>
  <c r="AW24" i="60" s="1"/>
  <c r="AX24" i="60" s="1"/>
  <c r="AY24" i="60" s="1"/>
  <c r="AZ24" i="60" s="1"/>
  <c r="BA24" i="60" s="1"/>
  <c r="BB24" i="60" s="1"/>
  <c r="BC24" i="60" s="1"/>
  <c r="BD24" i="60" s="1"/>
  <c r="BE24" i="60" s="1"/>
  <c r="BF24" i="60" s="1"/>
  <c r="BG24" i="60" s="1"/>
  <c r="BH24" i="60" s="1"/>
  <c r="BI24" i="60" s="1"/>
  <c r="BJ24" i="60" s="1"/>
  <c r="BK24" i="60" s="1"/>
  <c r="BL24" i="60" s="1"/>
  <c r="BM24" i="60" s="1"/>
  <c r="BN24" i="60" s="1"/>
  <c r="BO24" i="60" s="1"/>
  <c r="AJ27" i="60"/>
  <c r="AJ17" i="62"/>
  <c r="AJ21" i="62" s="1"/>
  <c r="AJ26" i="62" s="1"/>
  <c r="AK2" i="62"/>
  <c r="AK3" i="62"/>
  <c r="AK4" i="62"/>
  <c r="AK5" i="62"/>
  <c r="AK6" i="62"/>
  <c r="AK7" i="62"/>
  <c r="AL2" i="62"/>
  <c r="AL3" i="62"/>
  <c r="AL4" i="62"/>
  <c r="AL5" i="62"/>
  <c r="AL6" i="62"/>
  <c r="AM2" i="62"/>
  <c r="AM3" i="62"/>
  <c r="AM4" i="62"/>
  <c r="AM5" i="62"/>
  <c r="AM6" i="62"/>
  <c r="AN2" i="62"/>
  <c r="AN3" i="62"/>
  <c r="AN4" i="62"/>
  <c r="AN5" i="62"/>
  <c r="AN6" i="62"/>
  <c r="AN8" i="62"/>
  <c r="AO2" i="62"/>
  <c r="AO3" i="62"/>
  <c r="AO4" i="62"/>
  <c r="AO5" i="62"/>
  <c r="AO6" i="62"/>
  <c r="AO8" i="62"/>
  <c r="AP2" i="62"/>
  <c r="AP4" i="62"/>
  <c r="AP5" i="62"/>
  <c r="AP6" i="62"/>
  <c r="AP9" i="62"/>
  <c r="AQ2" i="62"/>
  <c r="AQ4" i="62"/>
  <c r="AQ5" i="62"/>
  <c r="AQ6" i="62"/>
  <c r="AQ9" i="62"/>
  <c r="AQ10" i="62"/>
  <c r="AR2" i="62"/>
  <c r="AR4" i="62"/>
  <c r="AR5" i="62"/>
  <c r="AR6" i="62"/>
  <c r="AR10" i="62"/>
  <c r="AS2" i="62"/>
  <c r="AS4" i="62"/>
  <c r="AS5" i="62"/>
  <c r="AS6" i="62"/>
  <c r="AS10" i="62"/>
  <c r="AT2" i="62"/>
  <c r="AT4" i="62"/>
  <c r="AT5" i="62"/>
  <c r="AT6" i="62"/>
  <c r="AT10" i="62"/>
  <c r="AU2" i="62"/>
  <c r="AU4" i="62"/>
  <c r="AU5" i="62"/>
  <c r="AU6" i="62"/>
  <c r="AU10" i="62"/>
  <c r="AV2" i="62"/>
  <c r="AV17" i="62" s="1"/>
  <c r="AV4" i="62"/>
  <c r="AV5" i="62"/>
  <c r="AV6" i="62"/>
  <c r="AV10" i="62"/>
  <c r="AW2" i="62"/>
  <c r="AW4" i="62"/>
  <c r="AW5" i="62"/>
  <c r="AW6" i="62"/>
  <c r="AW10" i="62"/>
  <c r="AX2" i="62"/>
  <c r="AX4" i="62"/>
  <c r="AX5" i="62"/>
  <c r="AX6" i="62"/>
  <c r="AX10" i="62"/>
  <c r="AY2" i="62"/>
  <c r="AY4" i="62"/>
  <c r="AY5" i="62"/>
  <c r="AY6" i="62"/>
  <c r="AY10" i="62"/>
  <c r="AY11" i="62"/>
  <c r="AZ2" i="62"/>
  <c r="AZ4" i="62"/>
  <c r="AZ5" i="62"/>
  <c r="AZ6" i="62"/>
  <c r="AZ10" i="62"/>
  <c r="AZ11" i="62"/>
  <c r="BA2" i="62"/>
  <c r="BA4" i="62"/>
  <c r="BA5" i="62"/>
  <c r="BA6" i="62"/>
  <c r="BA10" i="62"/>
  <c r="BA11" i="62"/>
  <c r="BB2" i="62"/>
  <c r="BB4" i="62"/>
  <c r="BB5" i="62"/>
  <c r="BB6" i="62"/>
  <c r="BB10" i="62"/>
  <c r="BB11" i="62"/>
  <c r="BC2" i="62"/>
  <c r="BC4" i="62"/>
  <c r="BC5" i="62"/>
  <c r="BC6" i="62"/>
  <c r="BC10" i="62"/>
  <c r="BC11" i="62"/>
  <c r="BD2" i="62"/>
  <c r="BD4" i="62"/>
  <c r="BD5" i="62"/>
  <c r="BD6" i="62"/>
  <c r="BD10" i="62"/>
  <c r="BD11" i="62"/>
  <c r="BE2" i="62"/>
  <c r="BE4" i="62"/>
  <c r="BE5" i="62"/>
  <c r="BE6" i="62"/>
  <c r="BE10" i="62"/>
  <c r="BE11" i="62"/>
  <c r="BE15" i="62"/>
  <c r="BF2" i="62"/>
  <c r="BF4" i="62"/>
  <c r="BF5" i="62"/>
  <c r="BF6" i="62"/>
  <c r="BF10" i="62"/>
  <c r="BF11" i="62"/>
  <c r="BF15" i="62"/>
  <c r="BG2" i="62"/>
  <c r="BG4" i="62"/>
  <c r="BG5" i="62"/>
  <c r="BG6" i="62"/>
  <c r="BG10" i="62"/>
  <c r="BG11" i="62"/>
  <c r="BG15" i="62"/>
  <c r="BG16" i="62"/>
  <c r="BH2" i="62"/>
  <c r="BH4" i="62"/>
  <c r="BH5" i="62"/>
  <c r="BH6" i="62"/>
  <c r="BH10" i="62"/>
  <c r="BH11" i="62"/>
  <c r="BH12" i="62"/>
  <c r="BH15" i="62"/>
  <c r="BH16" i="62"/>
  <c r="BI2" i="62"/>
  <c r="BI4" i="62"/>
  <c r="BI5" i="62"/>
  <c r="BI6" i="62"/>
  <c r="BI10" i="62"/>
  <c r="BI11" i="62"/>
  <c r="BI12" i="62"/>
  <c r="BI15" i="62"/>
  <c r="BI16" i="62"/>
  <c r="BJ2" i="62"/>
  <c r="BJ4" i="62"/>
  <c r="BJ5" i="62"/>
  <c r="BJ6" i="62"/>
  <c r="BJ10" i="62"/>
  <c r="BJ11" i="62"/>
  <c r="BJ15" i="62"/>
  <c r="BJ16" i="62"/>
  <c r="AK23" i="62"/>
  <c r="AL23" i="62" s="1"/>
  <c r="AM23" i="62" s="1"/>
  <c r="AN23" i="62" s="1"/>
  <c r="AO23" i="62" s="1"/>
  <c r="AP23" i="62" s="1"/>
  <c r="AQ23" i="62" s="1"/>
  <c r="AR23" i="62" s="1"/>
  <c r="AS23" i="62" s="1"/>
  <c r="AT23" i="62" s="1"/>
  <c r="AU23" i="62" s="1"/>
  <c r="AV23" i="62" s="1"/>
  <c r="AW23" i="62" s="1"/>
  <c r="AX23" i="62" s="1"/>
  <c r="AY23" i="62" s="1"/>
  <c r="AZ23" i="62" s="1"/>
  <c r="BA23" i="62" s="1"/>
  <c r="BB23" i="62" s="1"/>
  <c r="BC23" i="62" s="1"/>
  <c r="BD23" i="62" s="1"/>
  <c r="BE23" i="62" s="1"/>
  <c r="BF23" i="62" s="1"/>
  <c r="BG23" i="62" s="1"/>
  <c r="BH23" i="62" s="1"/>
  <c r="BI23" i="62" s="1"/>
  <c r="BJ23" i="62" s="1"/>
  <c r="BK23" i="62" s="1"/>
  <c r="BL23" i="62" s="1"/>
  <c r="BM23" i="62" s="1"/>
  <c r="BN23" i="62" s="1"/>
  <c r="BK2" i="62"/>
  <c r="BK4" i="62"/>
  <c r="BK5" i="62"/>
  <c r="BK6" i="62"/>
  <c r="BK10" i="62"/>
  <c r="BK11" i="62"/>
  <c r="BK15" i="62"/>
  <c r="BK16" i="62"/>
  <c r="BL2" i="62"/>
  <c r="BL4" i="62"/>
  <c r="BL5" i="62"/>
  <c r="BL6" i="62"/>
  <c r="BL10" i="62"/>
  <c r="BL11" i="62"/>
  <c r="BL14" i="62"/>
  <c r="BL15" i="62"/>
  <c r="BL16" i="62"/>
  <c r="BM2" i="62"/>
  <c r="BM4" i="62"/>
  <c r="BM5" i="62"/>
  <c r="BM6" i="62"/>
  <c r="BM10" i="62"/>
  <c r="BM11" i="62"/>
  <c r="BM14" i="62"/>
  <c r="BM15" i="62"/>
  <c r="BM16" i="62"/>
  <c r="BI7" i="63"/>
  <c r="BH7" i="63"/>
  <c r="BG7" i="63"/>
  <c r="BF7" i="63"/>
  <c r="BE7" i="63"/>
  <c r="BD7" i="63"/>
  <c r="BC7" i="63"/>
  <c r="BB7" i="63"/>
  <c r="BA7" i="63"/>
  <c r="AZ7" i="63"/>
  <c r="AY7" i="63"/>
  <c r="AX7" i="63"/>
  <c r="AW7" i="63"/>
  <c r="AV7" i="63"/>
  <c r="BU4" i="63"/>
  <c r="BU3" i="63"/>
  <c r="BT4" i="63"/>
  <c r="BT3" i="63"/>
  <c r="BS3" i="63"/>
  <c r="BS4" i="63"/>
  <c r="BS5" i="63"/>
  <c r="BS2" i="63"/>
  <c r="BR3" i="63"/>
  <c r="BR4" i="63"/>
  <c r="BR5" i="63"/>
  <c r="BR2" i="63"/>
  <c r="BQ3" i="63"/>
  <c r="BQ4" i="63"/>
  <c r="BQ5" i="63"/>
  <c r="BQ2" i="63"/>
  <c r="BP3" i="63"/>
  <c r="BP4" i="63"/>
  <c r="BP5" i="63"/>
  <c r="BP2" i="63"/>
  <c r="BO3" i="63"/>
  <c r="BO4" i="63"/>
  <c r="BO5" i="63"/>
  <c r="BO2" i="63"/>
  <c r="BN3" i="63"/>
  <c r="BN4" i="63"/>
  <c r="BN5" i="63"/>
  <c r="BN2" i="63"/>
  <c r="BM3" i="63"/>
  <c r="BM4" i="63"/>
  <c r="BM5" i="63"/>
  <c r="BM2" i="63"/>
  <c r="BL3" i="63"/>
  <c r="BL4" i="63"/>
  <c r="BL5" i="63"/>
  <c r="BL2" i="63"/>
  <c r="BK3" i="63"/>
  <c r="BK4" i="63"/>
  <c r="BK5" i="63"/>
  <c r="BK2" i="63"/>
  <c r="BJ3" i="63"/>
  <c r="BJ4" i="63"/>
  <c r="BJ5" i="63"/>
  <c r="BJ2" i="63"/>
  <c r="BI3" i="63"/>
  <c r="BI4" i="63"/>
  <c r="BI5" i="63"/>
  <c r="BI6" i="63"/>
  <c r="BI2" i="63"/>
  <c r="BH3" i="63"/>
  <c r="BH4" i="63"/>
  <c r="BH5" i="63"/>
  <c r="BH6" i="63"/>
  <c r="BH2" i="63"/>
  <c r="BG3" i="63"/>
  <c r="BG4" i="63"/>
  <c r="BG5" i="63"/>
  <c r="BG6" i="63"/>
  <c r="BG2" i="63"/>
  <c r="BF3" i="63"/>
  <c r="BF4" i="63"/>
  <c r="BF5" i="63"/>
  <c r="BF6" i="63"/>
  <c r="BF2" i="63"/>
  <c r="BE3" i="63"/>
  <c r="BE4" i="63"/>
  <c r="BE5" i="63"/>
  <c r="BE6" i="63"/>
  <c r="BE2" i="63"/>
  <c r="BD3" i="63"/>
  <c r="BD4" i="63"/>
  <c r="BD5" i="63"/>
  <c r="BD6" i="63"/>
  <c r="BD2" i="63"/>
  <c r="BC3" i="63"/>
  <c r="BC4" i="63"/>
  <c r="BC5" i="63"/>
  <c r="BC6" i="63"/>
  <c r="BC2" i="63"/>
  <c r="BB3" i="63"/>
  <c r="BB4" i="63"/>
  <c r="BB5" i="63"/>
  <c r="BB6" i="63"/>
  <c r="BB2" i="63"/>
  <c r="BA3" i="63"/>
  <c r="BA4" i="63"/>
  <c r="BA5" i="63"/>
  <c r="BA6" i="63"/>
  <c r="BA2" i="63"/>
  <c r="AZ3" i="63"/>
  <c r="AZ4" i="63"/>
  <c r="AZ5" i="63"/>
  <c r="AZ6" i="63"/>
  <c r="AZ2" i="63"/>
  <c r="AY3" i="63"/>
  <c r="AY4" i="63"/>
  <c r="AY5" i="63"/>
  <c r="AY6" i="63"/>
  <c r="AY2" i="63"/>
  <c r="AX3" i="63"/>
  <c r="AX4" i="63"/>
  <c r="AX5" i="63"/>
  <c r="AX6" i="63"/>
  <c r="AX2" i="63"/>
  <c r="AW3" i="63"/>
  <c r="AW4" i="63"/>
  <c r="AW5" i="63"/>
  <c r="AW6" i="63"/>
  <c r="AW2" i="63"/>
  <c r="AV3" i="63"/>
  <c r="AV4" i="63"/>
  <c r="AV5" i="63"/>
  <c r="AV6" i="63"/>
  <c r="AV2" i="63"/>
  <c r="AU3" i="63"/>
  <c r="AU4" i="63"/>
  <c r="AU5" i="63"/>
  <c r="AU6" i="63"/>
  <c r="AU20" i="63" s="1"/>
  <c r="AU2" i="63"/>
  <c r="AT3" i="63"/>
  <c r="AT4" i="63"/>
  <c r="AT5" i="63"/>
  <c r="AT6" i="63"/>
  <c r="AT2" i="63"/>
  <c r="AT20" i="63" s="1"/>
  <c r="AS3" i="63"/>
  <c r="AS4" i="63"/>
  <c r="AS5" i="63"/>
  <c r="AS6" i="63"/>
  <c r="AS2" i="63"/>
  <c r="AR3" i="63"/>
  <c r="AR4" i="63"/>
  <c r="AR5" i="63"/>
  <c r="AR6" i="63"/>
  <c r="AR2" i="63"/>
  <c r="AQ3" i="63"/>
  <c r="AQ4" i="63"/>
  <c r="AQ5" i="63"/>
  <c r="AQ6" i="63"/>
  <c r="AQ2" i="63"/>
  <c r="AP3" i="63"/>
  <c r="AP4" i="63"/>
  <c r="AP5" i="63"/>
  <c r="AP6" i="63"/>
  <c r="AP2" i="63"/>
  <c r="AO3" i="63"/>
  <c r="AO4" i="63"/>
  <c r="AO5" i="63"/>
  <c r="AO6" i="63"/>
  <c r="AO2" i="63"/>
  <c r="AO26" i="63"/>
  <c r="AP26" i="63" s="1"/>
  <c r="AQ26" i="63" s="1"/>
  <c r="AR26" i="63" s="1"/>
  <c r="AS26" i="63" s="1"/>
  <c r="AT26" i="63" s="1"/>
  <c r="AU26" i="63" s="1"/>
  <c r="AV26" i="63" s="1"/>
  <c r="AW26" i="63" s="1"/>
  <c r="AX26" i="63" s="1"/>
  <c r="AY26" i="63" s="1"/>
  <c r="AZ26" i="63" s="1"/>
  <c r="BA26" i="63" s="1"/>
  <c r="BB26" i="63" s="1"/>
  <c r="BC26" i="63" s="1"/>
  <c r="BD26" i="63" s="1"/>
  <c r="BE26" i="63" s="1"/>
  <c r="BF26" i="63" s="1"/>
  <c r="BG26" i="63" s="1"/>
  <c r="BH26" i="63" s="1"/>
  <c r="BI26" i="63" s="1"/>
  <c r="BJ26" i="63" s="1"/>
  <c r="BK26" i="63" s="1"/>
  <c r="BL26" i="63" s="1"/>
  <c r="BM26" i="63" s="1"/>
  <c r="BN26" i="63" s="1"/>
  <c r="BO26" i="63" s="1"/>
  <c r="BP26" i="63" s="1"/>
  <c r="BQ26" i="63" s="1"/>
  <c r="BR26" i="63" s="1"/>
  <c r="BS26" i="63" s="1"/>
  <c r="BT26" i="63" s="1"/>
  <c r="BU26" i="63" s="1"/>
  <c r="BV26" i="63" s="1"/>
  <c r="AN20" i="63"/>
  <c r="AN24" i="63" s="1"/>
  <c r="AN29" i="63" s="1"/>
  <c r="AV20" i="63"/>
  <c r="BB8" i="63"/>
  <c r="BB9" i="63"/>
  <c r="BC8" i="63"/>
  <c r="BC9" i="63"/>
  <c r="BD8" i="63"/>
  <c r="BE8" i="63"/>
  <c r="BE10" i="63"/>
  <c r="BF8" i="63"/>
  <c r="BF10" i="63"/>
  <c r="BG8" i="63"/>
  <c r="BG10" i="63"/>
  <c r="BH8" i="63"/>
  <c r="BH10" i="63"/>
  <c r="BI8" i="63"/>
  <c r="BI10" i="63"/>
  <c r="BJ8" i="63"/>
  <c r="BJ10" i="63"/>
  <c r="BJ11" i="63"/>
  <c r="BK8" i="63"/>
  <c r="BK10" i="63"/>
  <c r="BK11" i="63"/>
  <c r="BK12" i="63"/>
  <c r="BK13" i="63"/>
  <c r="BL8" i="63"/>
  <c r="BL10" i="63"/>
  <c r="BL11" i="63"/>
  <c r="BL12" i="63"/>
  <c r="BL13" i="63"/>
  <c r="BM8" i="63"/>
  <c r="BM10" i="63"/>
  <c r="BM11" i="63"/>
  <c r="BM12" i="63"/>
  <c r="BM13" i="63"/>
  <c r="BN8" i="63"/>
  <c r="BN10" i="63"/>
  <c r="BN11" i="63"/>
  <c r="BN12" i="63"/>
  <c r="BN13" i="63"/>
  <c r="BO8" i="63"/>
  <c r="BO10" i="63"/>
  <c r="BO11" i="63"/>
  <c r="BO12" i="63"/>
  <c r="BO15" i="63"/>
  <c r="BP8" i="63"/>
  <c r="BP10" i="63"/>
  <c r="BP11" i="63"/>
  <c r="BP12" i="63"/>
  <c r="BP15" i="63"/>
  <c r="BQ8" i="63"/>
  <c r="BQ10" i="63"/>
  <c r="BQ11" i="63"/>
  <c r="BQ12" i="63"/>
  <c r="BQ15" i="63"/>
  <c r="BR10" i="63"/>
  <c r="BR11" i="63"/>
  <c r="BR12" i="63"/>
  <c r="BR15" i="63"/>
  <c r="BS10" i="63"/>
  <c r="BS11" i="63"/>
  <c r="BS12" i="63"/>
  <c r="BT10" i="63"/>
  <c r="BT12" i="63"/>
  <c r="BT16" i="63"/>
  <c r="BU10" i="63"/>
  <c r="BU12" i="63"/>
  <c r="BU16" i="63"/>
  <c r="BU18" i="63"/>
  <c r="BU19" i="63"/>
  <c r="AI3" i="65"/>
  <c r="AI4" i="65"/>
  <c r="AI2" i="65"/>
  <c r="AG14" i="65"/>
  <c r="AG18" i="65" s="1"/>
  <c r="AH2" i="65"/>
  <c r="AH3" i="65"/>
  <c r="AH4" i="65"/>
  <c r="AH6" i="65"/>
  <c r="AJ3" i="65"/>
  <c r="AJ4" i="65"/>
  <c r="AJ11" i="65"/>
  <c r="AJ2" i="65"/>
  <c r="AK3" i="65"/>
  <c r="AK4" i="65"/>
  <c r="AK2" i="65"/>
  <c r="AL3" i="65"/>
  <c r="AL4" i="65"/>
  <c r="AL2" i="65"/>
  <c r="AM3" i="65"/>
  <c r="AM4" i="65"/>
  <c r="AM2" i="65"/>
  <c r="AM5" i="65"/>
  <c r="AN3" i="65"/>
  <c r="AN4" i="65"/>
  <c r="AN2" i="65"/>
  <c r="AN5" i="65"/>
  <c r="AN12" i="65"/>
  <c r="AO3" i="65"/>
  <c r="AO4" i="65"/>
  <c r="AO2" i="65"/>
  <c r="AO5" i="65"/>
  <c r="AO11" i="65"/>
  <c r="AP3" i="65"/>
  <c r="AP4" i="65"/>
  <c r="AP2" i="65"/>
  <c r="AP5" i="65"/>
  <c r="AQ3" i="65"/>
  <c r="AQ4" i="65"/>
  <c r="AQ11" i="65"/>
  <c r="AQ2" i="65"/>
  <c r="AQ12" i="65"/>
  <c r="AH20" i="65"/>
  <c r="AI20" i="65" s="1"/>
  <c r="AJ20" i="65" s="1"/>
  <c r="AK20" i="65" s="1"/>
  <c r="AL20" i="65" s="1"/>
  <c r="AM20" i="65" s="1"/>
  <c r="AN20" i="65" s="1"/>
  <c r="AO20" i="65" s="1"/>
  <c r="AP20" i="65" s="1"/>
  <c r="AQ20" i="65" s="1"/>
  <c r="AR20" i="65" s="1"/>
  <c r="AS20" i="65" s="1"/>
  <c r="AT20" i="65" s="1"/>
  <c r="AU20" i="65" s="1"/>
  <c r="AV20" i="65" s="1"/>
  <c r="AW20" i="65" s="1"/>
  <c r="AX20" i="65" s="1"/>
  <c r="AY20" i="65" s="1"/>
  <c r="AZ20" i="65" s="1"/>
  <c r="BA20" i="65" s="1"/>
  <c r="BB20" i="65" s="1"/>
  <c r="BC20" i="65" s="1"/>
  <c r="BD20" i="65" s="1"/>
  <c r="BE20" i="65" s="1"/>
  <c r="BF20" i="65" s="1"/>
  <c r="BG20" i="65" s="1"/>
  <c r="BH20" i="65" s="1"/>
  <c r="AR3" i="65"/>
  <c r="AR4" i="65"/>
  <c r="AR11" i="65"/>
  <c r="AR2" i="65"/>
  <c r="AR12" i="65"/>
  <c r="AS3" i="65"/>
  <c r="AS4" i="65"/>
  <c r="AS2" i="65"/>
  <c r="AS12" i="65"/>
  <c r="AT3" i="65"/>
  <c r="AT4" i="65"/>
  <c r="AT2" i="65"/>
  <c r="AT12" i="65"/>
  <c r="AU3" i="65"/>
  <c r="AU4" i="65"/>
  <c r="AU2" i="65"/>
  <c r="AU12" i="65"/>
  <c r="AV3" i="65"/>
  <c r="AV4" i="65"/>
  <c r="AV2" i="65"/>
  <c r="AV12" i="65"/>
  <c r="AW3" i="65"/>
  <c r="AW4" i="65"/>
  <c r="AW2" i="65"/>
  <c r="AW12" i="65"/>
  <c r="AX3" i="65"/>
  <c r="AX4" i="65"/>
  <c r="AX2" i="65"/>
  <c r="AX12" i="65"/>
  <c r="AY2" i="65"/>
  <c r="AY3" i="65"/>
  <c r="AY12" i="65"/>
  <c r="AZ2" i="65"/>
  <c r="AZ3" i="65"/>
  <c r="AZ12" i="65"/>
  <c r="AZ13" i="65"/>
  <c r="BA2" i="65"/>
  <c r="BA3" i="65"/>
  <c r="BA12" i="65"/>
  <c r="BA13" i="65"/>
  <c r="BB2" i="65"/>
  <c r="BB3" i="65"/>
  <c r="BB12" i="65"/>
  <c r="BB13" i="65"/>
  <c r="BC2" i="65"/>
  <c r="BC3" i="65"/>
  <c r="BC7" i="65"/>
  <c r="BC12" i="65"/>
  <c r="BC13" i="65"/>
  <c r="BD2" i="65"/>
  <c r="BD3" i="65"/>
  <c r="BD7" i="65"/>
  <c r="BD12" i="65"/>
  <c r="BD13" i="65"/>
  <c r="BE2" i="65"/>
  <c r="BE3" i="65"/>
  <c r="BE7" i="65"/>
  <c r="BE12" i="65"/>
  <c r="BE13" i="65"/>
  <c r="BF2" i="65"/>
  <c r="BF3" i="65"/>
  <c r="BF7" i="65"/>
  <c r="BF12" i="65"/>
  <c r="BF13" i="65"/>
  <c r="S15" i="66"/>
  <c r="R12" i="66"/>
  <c r="R15" i="66"/>
  <c r="Q5" i="66"/>
  <c r="Q6" i="66"/>
  <c r="Q8" i="66"/>
  <c r="Q2" i="66"/>
  <c r="P9" i="66"/>
  <c r="L17" i="66"/>
  <c r="L21" i="66" s="1"/>
  <c r="N4" i="66"/>
  <c r="N2" i="66"/>
  <c r="N5" i="66"/>
  <c r="N6" i="66"/>
  <c r="N7" i="66"/>
  <c r="M2" i="66"/>
  <c r="M17" i="66" s="1"/>
  <c r="O2" i="66"/>
  <c r="O5" i="66"/>
  <c r="O6" i="66"/>
  <c r="O7" i="66"/>
  <c r="P2" i="66"/>
  <c r="P5" i="66"/>
  <c r="P6" i="66"/>
  <c r="P8" i="66"/>
  <c r="Q17" i="66"/>
  <c r="M23" i="66"/>
  <c r="N23" i="66" s="1"/>
  <c r="O23" i="66" s="1"/>
  <c r="P23" i="66" s="1"/>
  <c r="Q23" i="66" s="1"/>
  <c r="R23" i="66" s="1"/>
  <c r="S23" i="66" s="1"/>
  <c r="R5" i="66"/>
  <c r="R8" i="66"/>
  <c r="S5" i="66"/>
  <c r="S6" i="66"/>
  <c r="S8" i="66"/>
  <c r="N7" i="49"/>
  <c r="J15" i="49"/>
  <c r="K2" i="49"/>
  <c r="K3" i="49"/>
  <c r="K4" i="49"/>
  <c r="K5" i="49"/>
  <c r="K11" i="49" s="1"/>
  <c r="L2" i="49"/>
  <c r="L3" i="49"/>
  <c r="L11" i="49" s="1"/>
  <c r="L4" i="49"/>
  <c r="L5" i="49"/>
  <c r="L6" i="49"/>
  <c r="L7" i="49"/>
  <c r="M2" i="49"/>
  <c r="M3" i="49"/>
  <c r="M4" i="49"/>
  <c r="M6" i="49"/>
  <c r="M8" i="49"/>
  <c r="N2" i="49"/>
  <c r="N3" i="49"/>
  <c r="N4" i="49"/>
  <c r="N8" i="49"/>
  <c r="N9" i="49"/>
  <c r="N10" i="49"/>
  <c r="N11" i="49"/>
  <c r="K17" i="49"/>
  <c r="L17" i="49" s="1"/>
  <c r="M17" i="49" s="1"/>
  <c r="N17" i="49" s="1"/>
  <c r="H11" i="48"/>
  <c r="T2" i="2"/>
  <c r="U2" i="2"/>
  <c r="U12" i="2"/>
  <c r="V2" i="2"/>
  <c r="V12" i="2"/>
  <c r="T19" i="2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W2" i="2"/>
  <c r="W12" i="2"/>
  <c r="X2" i="2"/>
  <c r="X12" i="2"/>
  <c r="Y2" i="2"/>
  <c r="Y12" i="2"/>
  <c r="Z2" i="2"/>
  <c r="Z5" i="2"/>
  <c r="Z12" i="2"/>
  <c r="AA2" i="2"/>
  <c r="AB2" i="2"/>
  <c r="AB7" i="2"/>
  <c r="AC2" i="2"/>
  <c r="AC7" i="2"/>
  <c r="AC10" i="2"/>
  <c r="H18" i="72"/>
  <c r="H22" i="72" s="1"/>
  <c r="I24" i="72"/>
  <c r="J24" i="72"/>
  <c r="N3" i="33"/>
  <c r="N4" i="33"/>
  <c r="N8" i="33"/>
  <c r="N17" i="33"/>
  <c r="N20" i="33"/>
  <c r="N2" i="33"/>
  <c r="O3" i="33"/>
  <c r="O4" i="33"/>
  <c r="O8" i="33"/>
  <c r="O2" i="33"/>
  <c r="O20" i="33"/>
  <c r="O22" i="33"/>
  <c r="P3" i="33"/>
  <c r="P4" i="33"/>
  <c r="P8" i="33"/>
  <c r="P18" i="33"/>
  <c r="P2" i="33"/>
  <c r="P20" i="33"/>
  <c r="P22" i="33"/>
  <c r="P23" i="33"/>
  <c r="Q3" i="33"/>
  <c r="Q4" i="33"/>
  <c r="Q8" i="33"/>
  <c r="Q2" i="33"/>
  <c r="Q20" i="33"/>
  <c r="Q22" i="33"/>
  <c r="Q23" i="33"/>
  <c r="R3" i="33"/>
  <c r="R4" i="33"/>
  <c r="R8" i="33"/>
  <c r="R2" i="33"/>
  <c r="R9" i="33"/>
  <c r="R18" i="33"/>
  <c r="R20" i="33"/>
  <c r="R22" i="33"/>
  <c r="R23" i="33"/>
  <c r="S3" i="33"/>
  <c r="S4" i="33"/>
  <c r="S8" i="33"/>
  <c r="S2" i="33"/>
  <c r="S14" i="33"/>
  <c r="S15" i="33"/>
  <c r="S20" i="33"/>
  <c r="S22" i="33"/>
  <c r="S23" i="33"/>
  <c r="N30" i="33"/>
  <c r="O30" i="33" s="1"/>
  <c r="P30" i="33" s="1"/>
  <c r="Q30" i="33" s="1"/>
  <c r="R30" i="33" s="1"/>
  <c r="S30" i="33" s="1"/>
  <c r="T30" i="33" s="1"/>
  <c r="J15" i="72"/>
  <c r="J16" i="72"/>
  <c r="J17" i="72"/>
  <c r="J3" i="72"/>
  <c r="J5" i="72"/>
  <c r="J7" i="72"/>
  <c r="J8" i="72"/>
  <c r="J9" i="72"/>
  <c r="J10" i="72"/>
  <c r="J11" i="72"/>
  <c r="J12" i="72"/>
  <c r="J13" i="72"/>
  <c r="J2" i="72"/>
  <c r="I3" i="72"/>
  <c r="I7" i="72"/>
  <c r="I8" i="72"/>
  <c r="I9" i="72"/>
  <c r="I10" i="72"/>
  <c r="I11" i="72"/>
  <c r="I12" i="72"/>
  <c r="I13" i="72"/>
  <c r="I2" i="72"/>
  <c r="N34" i="14"/>
  <c r="N38" i="14"/>
  <c r="N43" i="14" s="1"/>
  <c r="O2" i="14"/>
  <c r="O3" i="14"/>
  <c r="O4" i="14"/>
  <c r="O5" i="14"/>
  <c r="O11" i="14"/>
  <c r="O14" i="14"/>
  <c r="O20" i="14"/>
  <c r="O28" i="14"/>
  <c r="P2" i="14"/>
  <c r="P3" i="14"/>
  <c r="P5" i="14"/>
  <c r="P13" i="14"/>
  <c r="P20" i="14"/>
  <c r="Q2" i="14"/>
  <c r="Q3" i="14"/>
  <c r="Q4" i="14"/>
  <c r="Q5" i="14"/>
  <c r="Q6" i="14"/>
  <c r="Q13" i="14"/>
  <c r="Q20" i="14"/>
  <c r="R2" i="14"/>
  <c r="R4" i="14"/>
  <c r="R5" i="14"/>
  <c r="R6" i="14"/>
  <c r="R7" i="14"/>
  <c r="R8" i="14"/>
  <c r="R13" i="14"/>
  <c r="R19" i="14"/>
  <c r="R20" i="14"/>
  <c r="S2" i="14"/>
  <c r="S4" i="14"/>
  <c r="S5" i="14"/>
  <c r="S6" i="14"/>
  <c r="S7" i="14"/>
  <c r="S8" i="14"/>
  <c r="S13" i="14"/>
  <c r="S20" i="14"/>
  <c r="S24" i="14"/>
  <c r="T2" i="14"/>
  <c r="T4" i="14"/>
  <c r="T5" i="14"/>
  <c r="T6" i="14"/>
  <c r="T7" i="14"/>
  <c r="T8" i="14"/>
  <c r="T16" i="14"/>
  <c r="T20" i="14"/>
  <c r="T24" i="14"/>
  <c r="T31" i="14"/>
  <c r="T32" i="14"/>
  <c r="O40" i="14"/>
  <c r="P40" i="14" s="1"/>
  <c r="Q40" i="14" s="1"/>
  <c r="R40" i="14" s="1"/>
  <c r="S40" i="14" s="1"/>
  <c r="T40" i="14" s="1"/>
  <c r="U40" i="14" s="1"/>
  <c r="V40" i="14" s="1"/>
  <c r="U4" i="14"/>
  <c r="U5" i="14"/>
  <c r="U6" i="14"/>
  <c r="U7" i="14"/>
  <c r="U8" i="14"/>
  <c r="U16" i="14"/>
  <c r="U20" i="14"/>
  <c r="U31" i="14"/>
  <c r="U32" i="14"/>
  <c r="U33" i="14"/>
  <c r="N22" i="41"/>
  <c r="N26" i="41" s="1"/>
  <c r="O2" i="41"/>
  <c r="O3" i="41"/>
  <c r="O4" i="41"/>
  <c r="O6" i="41"/>
  <c r="O7" i="41"/>
  <c r="O8" i="41"/>
  <c r="O9" i="41"/>
  <c r="O15" i="41"/>
  <c r="O16" i="41"/>
  <c r="P2" i="41"/>
  <c r="P3" i="41"/>
  <c r="P4" i="41"/>
  <c r="P6" i="41"/>
  <c r="P8" i="41"/>
  <c r="P9" i="41"/>
  <c r="P10" i="41"/>
  <c r="P15" i="41"/>
  <c r="Q2" i="41"/>
  <c r="Q3" i="41"/>
  <c r="Q4" i="41"/>
  <c r="Q8" i="41"/>
  <c r="Q9" i="41"/>
  <c r="Q11" i="41"/>
  <c r="R2" i="41"/>
  <c r="R3" i="41"/>
  <c r="R4" i="41"/>
  <c r="R8" i="41"/>
  <c r="R9" i="41"/>
  <c r="R10" i="41"/>
  <c r="R11" i="41"/>
  <c r="O28" i="41"/>
  <c r="P28" i="41" s="1"/>
  <c r="Q28" i="41" s="1"/>
  <c r="R28" i="41" s="1"/>
  <c r="S28" i="41" s="1"/>
  <c r="T28" i="41" s="1"/>
  <c r="U28" i="41" s="1"/>
  <c r="V28" i="41" s="1"/>
  <c r="S2" i="41"/>
  <c r="S3" i="41"/>
  <c r="S4" i="41"/>
  <c r="S8" i="41"/>
  <c r="S9" i="41"/>
  <c r="S10" i="41"/>
  <c r="S11" i="41"/>
  <c r="S12" i="41"/>
  <c r="S21" i="41"/>
  <c r="H18" i="42"/>
  <c r="H7" i="42"/>
  <c r="H8" i="42"/>
  <c r="H11" i="42"/>
  <c r="G12" i="42"/>
  <c r="G16" i="42" s="1"/>
  <c r="G6" i="74"/>
  <c r="G10" i="74" s="1"/>
  <c r="H2" i="74"/>
  <c r="H3" i="74"/>
  <c r="H6" i="74"/>
  <c r="H12" i="74"/>
  <c r="O11" i="38"/>
  <c r="M8" i="38"/>
  <c r="M9" i="38"/>
  <c r="L8" i="38"/>
  <c r="L9" i="38"/>
  <c r="O4" i="38"/>
  <c r="L3" i="38"/>
  <c r="L5" i="38"/>
  <c r="L6" i="38"/>
  <c r="L11" i="38"/>
  <c r="L20" i="38"/>
  <c r="M2" i="38"/>
  <c r="M5" i="38"/>
  <c r="M11" i="38"/>
  <c r="M20" i="38"/>
  <c r="N2" i="38"/>
  <c r="N6" i="38"/>
  <c r="N11" i="38"/>
  <c r="N20" i="38"/>
  <c r="O2" i="38"/>
  <c r="O20" i="38"/>
  <c r="L27" i="38"/>
  <c r="M27" i="38" s="1"/>
  <c r="N27" i="38" s="1"/>
  <c r="O27" i="38" s="1"/>
  <c r="P27" i="38" s="1"/>
  <c r="Q27" i="38" s="1"/>
  <c r="T21" i="4"/>
  <c r="K13" i="24"/>
  <c r="K12" i="24"/>
  <c r="K6" i="24"/>
  <c r="K2" i="24"/>
  <c r="J5" i="24"/>
  <c r="J6" i="24"/>
  <c r="J2" i="24"/>
  <c r="J20" i="24"/>
  <c r="K20" i="24" s="1"/>
  <c r="L20" i="24" s="1"/>
  <c r="M20" i="24" s="1"/>
  <c r="AC3" i="3"/>
  <c r="AC2" i="3"/>
  <c r="AC7" i="3" s="1"/>
  <c r="AB3" i="3"/>
  <c r="AB2" i="3"/>
  <c r="AB7" i="3" s="1"/>
  <c r="AA3" i="3"/>
  <c r="AA2" i="3"/>
  <c r="Z3" i="3"/>
  <c r="Z2" i="3"/>
  <c r="Y3" i="3"/>
  <c r="Y2" i="3"/>
  <c r="Y7" i="3" s="1"/>
  <c r="X3" i="3"/>
  <c r="X2" i="3"/>
  <c r="X7" i="3" s="1"/>
  <c r="W3" i="3"/>
  <c r="W2" i="3"/>
  <c r="V3" i="3"/>
  <c r="V2" i="3"/>
  <c r="U3" i="3"/>
  <c r="U2" i="3"/>
  <c r="U7" i="3" s="1"/>
  <c r="T3" i="3"/>
  <c r="T2" i="3"/>
  <c r="R7" i="3"/>
  <c r="R11" i="3"/>
  <c r="S2" i="3"/>
  <c r="S3" i="3"/>
  <c r="S4" i="3"/>
  <c r="S5" i="3"/>
  <c r="S6" i="3"/>
  <c r="T6" i="3"/>
  <c r="T7" i="3" s="1"/>
  <c r="V7" i="3"/>
  <c r="W7" i="3"/>
  <c r="S13" i="3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Z7" i="3"/>
  <c r="AA7" i="3"/>
  <c r="R16" i="3"/>
  <c r="Q13" i="12"/>
  <c r="R17" i="12"/>
  <c r="S17" i="12"/>
  <c r="N2" i="30"/>
  <c r="N3" i="30"/>
  <c r="N4" i="30"/>
  <c r="N6" i="30"/>
  <c r="N8" i="30"/>
  <c r="N9" i="30"/>
  <c r="N10" i="30"/>
  <c r="N13" i="30"/>
  <c r="O3" i="30"/>
  <c r="O4" i="30"/>
  <c r="O6" i="30"/>
  <c r="O8" i="30"/>
  <c r="O9" i="30"/>
  <c r="O13" i="30"/>
  <c r="O19" i="30"/>
  <c r="O20" i="30"/>
  <c r="P3" i="30"/>
  <c r="P8" i="30"/>
  <c r="P19" i="30"/>
  <c r="Q3" i="30"/>
  <c r="Q6" i="30"/>
  <c r="Q19" i="30"/>
  <c r="Q21" i="30"/>
  <c r="Q23" i="30"/>
  <c r="Q24" i="30"/>
  <c r="Q25" i="30"/>
  <c r="R3" i="30"/>
  <c r="R6" i="30"/>
  <c r="R19" i="30"/>
  <c r="R21" i="30"/>
  <c r="R24" i="30"/>
  <c r="R25" i="30"/>
  <c r="R28" i="30"/>
  <c r="N35" i="30"/>
  <c r="O35" i="30" s="1"/>
  <c r="P35" i="30" s="1"/>
  <c r="Q35" i="30" s="1"/>
  <c r="R35" i="30" s="1"/>
  <c r="S35" i="30" s="1"/>
  <c r="T35" i="30" s="1"/>
  <c r="R3" i="18"/>
  <c r="R5" i="18"/>
  <c r="R2" i="18"/>
  <c r="Q3" i="18"/>
  <c r="Q5" i="18"/>
  <c r="Q2" i="18"/>
  <c r="Q7" i="18" s="1"/>
  <c r="L11" i="18"/>
  <c r="N2" i="18"/>
  <c r="N3" i="18"/>
  <c r="N5" i="18"/>
  <c r="O2" i="18"/>
  <c r="O3" i="18"/>
  <c r="O5" i="18"/>
  <c r="P2" i="18"/>
  <c r="P3" i="18"/>
  <c r="P5" i="18"/>
  <c r="M13" i="18"/>
  <c r="N13" i="18" s="1"/>
  <c r="O13" i="18" s="1"/>
  <c r="P13" i="18" s="1"/>
  <c r="Q13" i="18" s="1"/>
  <c r="R13" i="18" s="1"/>
  <c r="S13" i="18" s="1"/>
  <c r="T13" i="18" s="1"/>
  <c r="S10" i="37"/>
  <c r="T10" i="37"/>
  <c r="T21" i="37"/>
  <c r="R21" i="37"/>
  <c r="Q21" i="37"/>
  <c r="P21" i="37"/>
  <c r="P14" i="37"/>
  <c r="P11" i="37"/>
  <c r="P10" i="37"/>
  <c r="Q2" i="37"/>
  <c r="P2" i="37"/>
  <c r="O2" i="37"/>
  <c r="O8" i="37"/>
  <c r="O9" i="37"/>
  <c r="O10" i="37"/>
  <c r="O11" i="37"/>
  <c r="O14" i="37"/>
  <c r="O21" i="37"/>
  <c r="P4" i="37"/>
  <c r="P5" i="37"/>
  <c r="P12" i="37"/>
  <c r="Q17" i="37"/>
  <c r="Q19" i="37"/>
  <c r="R16" i="37"/>
  <c r="R17" i="37"/>
  <c r="R19" i="37"/>
  <c r="R20" i="37"/>
  <c r="R22" i="37"/>
  <c r="S16" i="37"/>
  <c r="S19" i="37"/>
  <c r="S20" i="37"/>
  <c r="S35" i="37"/>
  <c r="T16" i="37"/>
  <c r="T20" i="37"/>
  <c r="T35" i="37"/>
  <c r="T36" i="37"/>
  <c r="T37" i="37"/>
  <c r="U16" i="37"/>
  <c r="U20" i="37"/>
  <c r="U35" i="37"/>
  <c r="U37" i="37"/>
  <c r="O44" i="37"/>
  <c r="P44" i="37" s="1"/>
  <c r="Q44" i="37" s="1"/>
  <c r="R44" i="37" s="1"/>
  <c r="S44" i="37" s="1"/>
  <c r="T44" i="37" s="1"/>
  <c r="U44" i="37" s="1"/>
  <c r="V44" i="37" s="1"/>
  <c r="I18" i="69"/>
  <c r="I23" i="69" s="1"/>
  <c r="J20" i="69"/>
  <c r="K20" i="69"/>
  <c r="L20" i="69" s="1"/>
  <c r="L3" i="69"/>
  <c r="L4" i="69"/>
  <c r="L5" i="69"/>
  <c r="L6" i="69"/>
  <c r="L8" i="69"/>
  <c r="L9" i="69"/>
  <c r="L10" i="69"/>
  <c r="L2" i="69"/>
  <c r="L11" i="69"/>
  <c r="K11" i="69"/>
  <c r="K3" i="69"/>
  <c r="K4" i="69"/>
  <c r="K5" i="69"/>
  <c r="K6" i="69"/>
  <c r="K7" i="69"/>
  <c r="K8" i="69"/>
  <c r="K9" i="69"/>
  <c r="K10" i="69"/>
  <c r="K2" i="69"/>
  <c r="J3" i="69"/>
  <c r="J4" i="69"/>
  <c r="J5" i="69"/>
  <c r="J6" i="69"/>
  <c r="J7" i="69"/>
  <c r="J8" i="69"/>
  <c r="J9" i="69"/>
  <c r="J10" i="69"/>
  <c r="J2" i="69"/>
  <c r="L13" i="69"/>
  <c r="K16" i="31"/>
  <c r="L16" i="31" s="1"/>
  <c r="M16" i="31" s="1"/>
  <c r="N16" i="31" s="1"/>
  <c r="O16" i="31" s="1"/>
  <c r="K7" i="31"/>
  <c r="L7" i="31"/>
  <c r="J10" i="31"/>
  <c r="J14" i="31" s="1"/>
  <c r="K2" i="31"/>
  <c r="K3" i="31"/>
  <c r="K4" i="31"/>
  <c r="K10" i="31" s="1"/>
  <c r="K5" i="31"/>
  <c r="L2" i="31"/>
  <c r="L3" i="31"/>
  <c r="L4" i="31"/>
  <c r="L5" i="31"/>
  <c r="Q11" i="12"/>
  <c r="M19" i="12"/>
  <c r="M23" i="12" s="1"/>
  <c r="N2" i="12"/>
  <c r="N3" i="12"/>
  <c r="N4" i="12"/>
  <c r="N5" i="12"/>
  <c r="N6" i="12"/>
  <c r="N9" i="12"/>
  <c r="N10" i="12"/>
  <c r="N12" i="12"/>
  <c r="N14" i="12"/>
  <c r="O2" i="12"/>
  <c r="O3" i="12"/>
  <c r="O4" i="12"/>
  <c r="O5" i="12"/>
  <c r="O6" i="12"/>
  <c r="O9" i="12"/>
  <c r="O12" i="12"/>
  <c r="O13" i="12"/>
  <c r="O14" i="12"/>
  <c r="P2" i="12"/>
  <c r="P3" i="12"/>
  <c r="P5" i="12"/>
  <c r="P6" i="12"/>
  <c r="P12" i="12"/>
  <c r="P13" i="12"/>
  <c r="Q2" i="12"/>
  <c r="Q3" i="12"/>
  <c r="Q4" i="12"/>
  <c r="Q6" i="12"/>
  <c r="Q12" i="12"/>
  <c r="R2" i="12"/>
  <c r="R4" i="12"/>
  <c r="R6" i="12"/>
  <c r="R12" i="12"/>
  <c r="R14" i="12"/>
  <c r="S2" i="12"/>
  <c r="S5" i="12"/>
  <c r="S6" i="12"/>
  <c r="S12" i="12"/>
  <c r="S18" i="12"/>
  <c r="N25" i="12"/>
  <c r="O25" i="12" s="1"/>
  <c r="P25" i="12" s="1"/>
  <c r="Q25" i="12" s="1"/>
  <c r="R25" i="12" s="1"/>
  <c r="S25" i="12" s="1"/>
  <c r="T25" i="12" s="1"/>
  <c r="J11" i="73"/>
  <c r="J15" i="73"/>
  <c r="K2" i="73"/>
  <c r="K3" i="73"/>
  <c r="K4" i="73"/>
  <c r="K5" i="73"/>
  <c r="K6" i="73"/>
  <c r="K7" i="73"/>
  <c r="K8" i="73"/>
  <c r="L2" i="73"/>
  <c r="L3" i="73"/>
  <c r="L4" i="73"/>
  <c r="L5" i="73"/>
  <c r="L6" i="73"/>
  <c r="L7" i="73"/>
  <c r="L8" i="73"/>
  <c r="L10" i="73"/>
  <c r="M2" i="73"/>
  <c r="M3" i="73"/>
  <c r="M11" i="73" s="1"/>
  <c r="M4" i="73"/>
  <c r="M5" i="73"/>
  <c r="M6" i="73"/>
  <c r="M7" i="73"/>
  <c r="M8" i="73"/>
  <c r="M10" i="73"/>
  <c r="N2" i="73"/>
  <c r="N3" i="73"/>
  <c r="N4" i="73"/>
  <c r="N5" i="73"/>
  <c r="N6" i="73"/>
  <c r="N10" i="73"/>
  <c r="K17" i="73"/>
  <c r="L17" i="73" s="1"/>
  <c r="M17" i="73" s="1"/>
  <c r="N17" i="73" s="1"/>
  <c r="J20" i="73"/>
  <c r="AG9" i="58"/>
  <c r="AI14" i="58"/>
  <c r="AH14" i="58"/>
  <c r="AK13" i="58"/>
  <c r="AL13" i="58"/>
  <c r="AM13" i="58"/>
  <c r="AA11" i="58"/>
  <c r="AA2" i="58"/>
  <c r="AA3" i="58"/>
  <c r="AA4" i="58"/>
  <c r="AA5" i="58"/>
  <c r="AA6" i="58"/>
  <c r="AA7" i="58"/>
  <c r="Y17" i="58"/>
  <c r="Y21" i="58"/>
  <c r="Z2" i="58"/>
  <c r="Z3" i="58"/>
  <c r="Z4" i="58"/>
  <c r="Z5" i="58"/>
  <c r="Z6" i="58"/>
  <c r="Z7" i="58"/>
  <c r="Z10" i="58"/>
  <c r="Z12" i="58"/>
  <c r="AB2" i="58"/>
  <c r="AB17" i="58" s="1"/>
  <c r="AB3" i="58"/>
  <c r="AB4" i="58"/>
  <c r="AB5" i="58"/>
  <c r="AC2" i="58"/>
  <c r="AC3" i="58"/>
  <c r="AC4" i="58"/>
  <c r="AC5" i="58"/>
  <c r="AD2" i="58"/>
  <c r="AD3" i="58"/>
  <c r="AD4" i="58"/>
  <c r="AD5" i="58"/>
  <c r="AD9" i="58"/>
  <c r="AD10" i="58"/>
  <c r="AD17" i="58" s="1"/>
  <c r="AE2" i="58"/>
  <c r="AE17" i="58" s="1"/>
  <c r="AE3" i="58"/>
  <c r="AE4" i="58"/>
  <c r="AE5" i="58"/>
  <c r="AE9" i="58"/>
  <c r="AF2" i="58"/>
  <c r="AF3" i="58"/>
  <c r="AF4" i="58"/>
  <c r="AF5" i="58"/>
  <c r="AF9" i="58"/>
  <c r="AG2" i="58"/>
  <c r="AG3" i="58"/>
  <c r="AG4" i="58"/>
  <c r="AG5" i="58"/>
  <c r="Z23" i="58"/>
  <c r="AA23" i="58" s="1"/>
  <c r="AB23" i="58" s="1"/>
  <c r="AC23" i="58" s="1"/>
  <c r="AD23" i="58" s="1"/>
  <c r="AE23" i="58" s="1"/>
  <c r="AF23" i="58" s="1"/>
  <c r="AG23" i="58" s="1"/>
  <c r="AH23" i="58" s="1"/>
  <c r="AI23" i="58" s="1"/>
  <c r="AJ23" i="58" s="1"/>
  <c r="AK23" i="58" s="1"/>
  <c r="AL23" i="58" s="1"/>
  <c r="AM23" i="58" s="1"/>
  <c r="AN23" i="58" s="1"/>
  <c r="AO23" i="58" s="1"/>
  <c r="AP23" i="58" s="1"/>
  <c r="AQ23" i="58" s="1"/>
  <c r="AR23" i="58" s="1"/>
  <c r="AH2" i="58"/>
  <c r="AH17" i="58" s="1"/>
  <c r="AH3" i="58"/>
  <c r="AH4" i="58"/>
  <c r="AH5" i="58"/>
  <c r="AH9" i="58"/>
  <c r="AI2" i="58"/>
  <c r="AI3" i="58"/>
  <c r="AI4" i="58"/>
  <c r="AI5" i="58"/>
  <c r="AI7" i="58"/>
  <c r="AI9" i="58"/>
  <c r="AI10" i="58"/>
  <c r="AJ2" i="58"/>
  <c r="AJ3" i="58"/>
  <c r="AJ4" i="58"/>
  <c r="AJ5" i="58"/>
  <c r="AJ9" i="58"/>
  <c r="AJ10" i="58"/>
  <c r="AK2" i="58"/>
  <c r="AK3" i="58"/>
  <c r="AK4" i="58"/>
  <c r="AK5" i="58"/>
  <c r="AK10" i="58"/>
  <c r="AL2" i="58"/>
  <c r="AL17" i="58" s="1"/>
  <c r="AL3" i="58"/>
  <c r="AL4" i="58"/>
  <c r="AL5" i="58"/>
  <c r="AL9" i="58"/>
  <c r="AL10" i="58"/>
  <c r="AM2" i="58"/>
  <c r="AM3" i="58"/>
  <c r="AM4" i="58"/>
  <c r="AM5" i="58"/>
  <c r="AM9" i="58"/>
  <c r="AN2" i="58"/>
  <c r="AN3" i="58"/>
  <c r="AN4" i="58"/>
  <c r="AN5" i="58"/>
  <c r="AN9" i="58"/>
  <c r="AN10" i="58"/>
  <c r="AO2" i="58"/>
  <c r="AO3" i="58"/>
  <c r="AO4" i="58"/>
  <c r="AO5" i="58"/>
  <c r="AO9" i="58"/>
  <c r="AO10" i="58"/>
  <c r="AO16" i="58"/>
  <c r="AP2" i="58"/>
  <c r="AP3" i="58"/>
  <c r="AP4" i="58"/>
  <c r="AP5" i="58"/>
  <c r="AP9" i="58"/>
  <c r="AP10" i="58"/>
  <c r="AP16" i="58"/>
  <c r="Y26" i="58"/>
  <c r="M13" i="51"/>
  <c r="M17" i="51"/>
  <c r="N2" i="51"/>
  <c r="N3" i="51"/>
  <c r="N4" i="51"/>
  <c r="N5" i="51"/>
  <c r="N6" i="51"/>
  <c r="N7" i="51"/>
  <c r="O2" i="51"/>
  <c r="O3" i="51"/>
  <c r="O4" i="51"/>
  <c r="O5" i="51"/>
  <c r="O7" i="51"/>
  <c r="O8" i="51"/>
  <c r="O9" i="51"/>
  <c r="O13" i="51"/>
  <c r="P2" i="51"/>
  <c r="P3" i="51"/>
  <c r="P4" i="51"/>
  <c r="P5" i="51"/>
  <c r="P7" i="51"/>
  <c r="P8" i="51"/>
  <c r="P9" i="51"/>
  <c r="Q2" i="51"/>
  <c r="Q13" i="51" s="1"/>
  <c r="Q3" i="51"/>
  <c r="Q4" i="51"/>
  <c r="Q5" i="51"/>
  <c r="Q7" i="51"/>
  <c r="Q8" i="51"/>
  <c r="Q9" i="51"/>
  <c r="Q10" i="51"/>
  <c r="Q11" i="51"/>
  <c r="N19" i="51"/>
  <c r="O19" i="51" s="1"/>
  <c r="P19" i="51" s="1"/>
  <c r="Q19" i="51" s="1"/>
  <c r="R19" i="51" s="1"/>
  <c r="S19" i="51" s="1"/>
  <c r="T19" i="51" s="1"/>
  <c r="R2" i="51"/>
  <c r="R3" i="51"/>
  <c r="R4" i="51"/>
  <c r="R5" i="51"/>
  <c r="R7" i="51"/>
  <c r="R8" i="51"/>
  <c r="R9" i="51"/>
  <c r="R10" i="51"/>
  <c r="R11" i="51"/>
  <c r="R12" i="51"/>
  <c r="S2" i="51"/>
  <c r="S3" i="51"/>
  <c r="S4" i="51"/>
  <c r="S5" i="51"/>
  <c r="S7" i="51"/>
  <c r="S8" i="51"/>
  <c r="S9" i="51"/>
  <c r="S10" i="51"/>
  <c r="S11" i="51"/>
  <c r="S12" i="51"/>
  <c r="T2" i="51"/>
  <c r="T3" i="51"/>
  <c r="T13" i="51" s="1"/>
  <c r="T4" i="51"/>
  <c r="T5" i="51"/>
  <c r="T7" i="51"/>
  <c r="T8" i="51"/>
  <c r="T9" i="51"/>
  <c r="T10" i="51"/>
  <c r="T11" i="51"/>
  <c r="T12" i="51"/>
  <c r="M22" i="51"/>
  <c r="Z17" i="56"/>
  <c r="Z21" i="56" s="1"/>
  <c r="Z26" i="56" s="1"/>
  <c r="K8" i="45"/>
  <c r="J15" i="44"/>
  <c r="M25" i="13"/>
  <c r="M29" i="13" s="1"/>
  <c r="I18" i="68"/>
  <c r="I22" i="68" s="1"/>
  <c r="I27" i="68" s="1"/>
  <c r="J15" i="36"/>
  <c r="I8" i="43"/>
  <c r="I12" i="43" s="1"/>
  <c r="I17" i="43" s="1"/>
  <c r="AB14" i="52"/>
  <c r="J8" i="57"/>
  <c r="H11" i="57"/>
  <c r="H15" i="57" s="1"/>
  <c r="I2" i="57"/>
  <c r="I3" i="57"/>
  <c r="I4" i="57"/>
  <c r="I5" i="57"/>
  <c r="I11" i="57"/>
  <c r="J2" i="57"/>
  <c r="J3" i="57"/>
  <c r="J4" i="57"/>
  <c r="J5" i="57"/>
  <c r="J10" i="57"/>
  <c r="I17" i="57"/>
  <c r="J17" i="57" s="1"/>
  <c r="I17" i="32"/>
  <c r="I21" i="32" s="1"/>
  <c r="J2" i="32"/>
  <c r="J17" i="32" s="1"/>
  <c r="J8" i="32"/>
  <c r="K2" i="32"/>
  <c r="K5" i="32"/>
  <c r="K7" i="32"/>
  <c r="K8" i="32"/>
  <c r="K9" i="32"/>
  <c r="J23" i="32"/>
  <c r="K23" i="32" s="1"/>
  <c r="L23" i="32" s="1"/>
  <c r="M23" i="32" s="1"/>
  <c r="AA2" i="56"/>
  <c r="AA3" i="56"/>
  <c r="AA4" i="56"/>
  <c r="AA5" i="56"/>
  <c r="AA6" i="56"/>
  <c r="AA7" i="56"/>
  <c r="AB2" i="56"/>
  <c r="AB3" i="56"/>
  <c r="AB4" i="56"/>
  <c r="AB5" i="56"/>
  <c r="AB6" i="56"/>
  <c r="AC2" i="56"/>
  <c r="AC3" i="56"/>
  <c r="AC4" i="56"/>
  <c r="AC5" i="56"/>
  <c r="AC6" i="56"/>
  <c r="AD2" i="56"/>
  <c r="AD17" i="56" s="1"/>
  <c r="AD3" i="56"/>
  <c r="AD4" i="56"/>
  <c r="AD5" i="56"/>
  <c r="AD6" i="56"/>
  <c r="AE2" i="56"/>
  <c r="AE3" i="56"/>
  <c r="AE4" i="56"/>
  <c r="AE5" i="56"/>
  <c r="AE6" i="56"/>
  <c r="AE9" i="56"/>
  <c r="AF2" i="56"/>
  <c r="AF3" i="56"/>
  <c r="AF4" i="56"/>
  <c r="AF5" i="56"/>
  <c r="AF6" i="56"/>
  <c r="AF9" i="56"/>
  <c r="AF10" i="56"/>
  <c r="AF11" i="56"/>
  <c r="AA23" i="56"/>
  <c r="AB23" i="56" s="1"/>
  <c r="AC23" i="56" s="1"/>
  <c r="AD23" i="56" s="1"/>
  <c r="AE23" i="56" s="1"/>
  <c r="AF23" i="56" s="1"/>
  <c r="AG23" i="56" s="1"/>
  <c r="AH23" i="56" s="1"/>
  <c r="AI23" i="56" s="1"/>
  <c r="AJ23" i="56" s="1"/>
  <c r="AK23" i="56" s="1"/>
  <c r="AL23" i="56" s="1"/>
  <c r="AM23" i="56" s="1"/>
  <c r="AN23" i="56" s="1"/>
  <c r="AO23" i="56" s="1"/>
  <c r="AP23" i="56" s="1"/>
  <c r="AQ23" i="56" s="1"/>
  <c r="AR23" i="56" s="1"/>
  <c r="AS23" i="56" s="1"/>
  <c r="AT23" i="56" s="1"/>
  <c r="AG2" i="56"/>
  <c r="AG3" i="56"/>
  <c r="AG4" i="56"/>
  <c r="AG5" i="56"/>
  <c r="AG6" i="56"/>
  <c r="AG9" i="56"/>
  <c r="AG10" i="56"/>
  <c r="AG11" i="56"/>
  <c r="AG12" i="56"/>
  <c r="AH2" i="56"/>
  <c r="AH3" i="56"/>
  <c r="AH4" i="56"/>
  <c r="AH5" i="56"/>
  <c r="AH6" i="56"/>
  <c r="AH9" i="56"/>
  <c r="AH10" i="56"/>
  <c r="AH11" i="56"/>
  <c r="AH12" i="56"/>
  <c r="AI2" i="56"/>
  <c r="AI3" i="56"/>
  <c r="AI4" i="56"/>
  <c r="AI5" i="56"/>
  <c r="AI6" i="56"/>
  <c r="AI10" i="56"/>
  <c r="AI11" i="56"/>
  <c r="AI12" i="56"/>
  <c r="AJ2" i="56"/>
  <c r="AJ3" i="56"/>
  <c r="AJ4" i="56"/>
  <c r="AJ5" i="56"/>
  <c r="AJ6" i="56"/>
  <c r="AJ10" i="56"/>
  <c r="AJ11" i="56"/>
  <c r="AJ12" i="56"/>
  <c r="AK2" i="56"/>
  <c r="AK3" i="56"/>
  <c r="AK17" i="56" s="1"/>
  <c r="AK4" i="56"/>
  <c r="AK5" i="56"/>
  <c r="AK6" i="56"/>
  <c r="AK10" i="56"/>
  <c r="AK11" i="56"/>
  <c r="AL2" i="56"/>
  <c r="AL3" i="56"/>
  <c r="AL4" i="56"/>
  <c r="AL5" i="56"/>
  <c r="AL6" i="56"/>
  <c r="AL10" i="56"/>
  <c r="AL11" i="56"/>
  <c r="AL12" i="56"/>
  <c r="AL13" i="56"/>
  <c r="AM2" i="56"/>
  <c r="AM4" i="56"/>
  <c r="AM5" i="56"/>
  <c r="AM6" i="56"/>
  <c r="AM10" i="56"/>
  <c r="AM11" i="56"/>
  <c r="AM12" i="56"/>
  <c r="AM13" i="56"/>
  <c r="AN2" i="56"/>
  <c r="AN4" i="56"/>
  <c r="AN5" i="56"/>
  <c r="AN6" i="56"/>
  <c r="AN10" i="56"/>
  <c r="AN11" i="56"/>
  <c r="AN12" i="56"/>
  <c r="AN13" i="56"/>
  <c r="AN15" i="56"/>
  <c r="AO2" i="56"/>
  <c r="AO4" i="56"/>
  <c r="AO5" i="56"/>
  <c r="AO6" i="56"/>
  <c r="AO10" i="56"/>
  <c r="AO13" i="56"/>
  <c r="AO15" i="56"/>
  <c r="AP2" i="56"/>
  <c r="AP4" i="56"/>
  <c r="AP5" i="56"/>
  <c r="AP6" i="56"/>
  <c r="AP10" i="56"/>
  <c r="AP12" i="56"/>
  <c r="AP13" i="56"/>
  <c r="AP15" i="56"/>
  <c r="AP16" i="56"/>
  <c r="AQ2" i="56"/>
  <c r="AQ4" i="56"/>
  <c r="AQ5" i="56"/>
  <c r="AQ6" i="56"/>
  <c r="AQ10" i="56"/>
  <c r="AQ12" i="56"/>
  <c r="AQ13" i="56"/>
  <c r="AQ15" i="56"/>
  <c r="AQ16" i="56"/>
  <c r="AR2" i="56"/>
  <c r="AR4" i="56"/>
  <c r="AR5" i="56"/>
  <c r="AR6" i="56"/>
  <c r="AR10" i="56"/>
  <c r="AR13" i="56"/>
  <c r="AR15" i="56"/>
  <c r="AR16" i="56"/>
  <c r="AS2" i="56"/>
  <c r="AS4" i="56"/>
  <c r="AS5" i="56"/>
  <c r="AS6" i="56"/>
  <c r="AS10" i="56"/>
  <c r="AS13" i="56"/>
  <c r="AS15" i="56"/>
  <c r="AS16" i="56"/>
  <c r="N9" i="44"/>
  <c r="N15" i="44" s="1"/>
  <c r="M9" i="44"/>
  <c r="L9" i="44"/>
  <c r="P7" i="45"/>
  <c r="P6" i="45"/>
  <c r="P5" i="45"/>
  <c r="P3" i="45"/>
  <c r="P4" i="45"/>
  <c r="P2" i="45"/>
  <c r="O7" i="45"/>
  <c r="O6" i="45"/>
  <c r="O5" i="45"/>
  <c r="O3" i="45"/>
  <c r="O4" i="45"/>
  <c r="O2" i="45"/>
  <c r="N7" i="45"/>
  <c r="N6" i="45"/>
  <c r="N5" i="45"/>
  <c r="N3" i="45"/>
  <c r="N4" i="45"/>
  <c r="N2" i="45"/>
  <c r="M6" i="45"/>
  <c r="M5" i="45"/>
  <c r="M3" i="45"/>
  <c r="M4" i="45"/>
  <c r="M2" i="45"/>
  <c r="L3" i="45"/>
  <c r="L4" i="45"/>
  <c r="L2" i="45"/>
  <c r="L8" i="45"/>
  <c r="K12" i="45"/>
  <c r="K17" i="45" s="1"/>
  <c r="L14" i="45"/>
  <c r="M14" i="45" s="1"/>
  <c r="N14" i="45" s="1"/>
  <c r="O14" i="45" s="1"/>
  <c r="P14" i="45" s="1"/>
  <c r="J19" i="44"/>
  <c r="K2" i="44"/>
  <c r="K3" i="44"/>
  <c r="K4" i="44"/>
  <c r="K5" i="44"/>
  <c r="K6" i="44"/>
  <c r="K7" i="44"/>
  <c r="K8" i="44"/>
  <c r="K9" i="44"/>
  <c r="K14" i="44"/>
  <c r="L2" i="44"/>
  <c r="L3" i="44"/>
  <c r="L4" i="44"/>
  <c r="L5" i="44"/>
  <c r="L6" i="44"/>
  <c r="L7" i="44"/>
  <c r="L8" i="44"/>
  <c r="L10" i="44"/>
  <c r="M2" i="44"/>
  <c r="M3" i="44"/>
  <c r="M4" i="44"/>
  <c r="M5" i="44"/>
  <c r="M6" i="44"/>
  <c r="M7" i="44"/>
  <c r="M8" i="44"/>
  <c r="N6" i="44"/>
  <c r="N7" i="44"/>
  <c r="N8" i="44"/>
  <c r="K21" i="44"/>
  <c r="L21" i="44" s="1"/>
  <c r="M21" i="44" s="1"/>
  <c r="N21" i="44" s="1"/>
  <c r="J24" i="44"/>
  <c r="AU24" i="54"/>
  <c r="AU28" i="54" s="1"/>
  <c r="AU33" i="54" s="1"/>
  <c r="AV2" i="54"/>
  <c r="AV3" i="54"/>
  <c r="AV4" i="54"/>
  <c r="AV5" i="54"/>
  <c r="AW24" i="54"/>
  <c r="AX2" i="54"/>
  <c r="AX3" i="54"/>
  <c r="AX5" i="54"/>
  <c r="AY2" i="54"/>
  <c r="AY3" i="54"/>
  <c r="AY5" i="54"/>
  <c r="AY6" i="54"/>
  <c r="AV30" i="54"/>
  <c r="AW30" i="54" s="1"/>
  <c r="AX30" i="54" s="1"/>
  <c r="AY30" i="54" s="1"/>
  <c r="AZ30" i="54" s="1"/>
  <c r="BA30" i="54" s="1"/>
  <c r="BB30" i="54" s="1"/>
  <c r="BC30" i="54" s="1"/>
  <c r="BD30" i="54" s="1"/>
  <c r="BE30" i="54" s="1"/>
  <c r="BF30" i="54" s="1"/>
  <c r="BG30" i="54" s="1"/>
  <c r="BH30" i="54" s="1"/>
  <c r="BI30" i="54" s="1"/>
  <c r="BJ30" i="54" s="1"/>
  <c r="BK30" i="54" s="1"/>
  <c r="BL30" i="54" s="1"/>
  <c r="BM30" i="54" s="1"/>
  <c r="BN30" i="54" s="1"/>
  <c r="BO30" i="54" s="1"/>
  <c r="BP30" i="54" s="1"/>
  <c r="BQ30" i="54" s="1"/>
  <c r="BR30" i="54" s="1"/>
  <c r="BS30" i="54" s="1"/>
  <c r="BT30" i="54" s="1"/>
  <c r="BU30" i="54" s="1"/>
  <c r="BV30" i="54" s="1"/>
  <c r="BW30" i="54" s="1"/>
  <c r="BX30" i="54" s="1"/>
  <c r="BY30" i="54" s="1"/>
  <c r="BZ30" i="54" s="1"/>
  <c r="CA30" i="54" s="1"/>
  <c r="CB30" i="54" s="1"/>
  <c r="CC30" i="54" s="1"/>
  <c r="CD30" i="54" s="1"/>
  <c r="CE30" i="54" s="1"/>
  <c r="CF30" i="54" s="1"/>
  <c r="CG30" i="54" s="1"/>
  <c r="CH30" i="54" s="1"/>
  <c r="CI30" i="54" s="1"/>
  <c r="CJ30" i="54" s="1"/>
  <c r="CK30" i="54" s="1"/>
  <c r="AZ2" i="54"/>
  <c r="AZ3" i="54"/>
  <c r="AZ5" i="54"/>
  <c r="AZ6" i="54"/>
  <c r="BA2" i="54"/>
  <c r="BA3" i="54"/>
  <c r="BA5" i="54"/>
  <c r="BA6" i="54"/>
  <c r="BB2" i="54"/>
  <c r="BB3" i="54"/>
  <c r="BB5" i="54"/>
  <c r="BB6" i="54"/>
  <c r="BB7" i="54"/>
  <c r="BC2" i="54"/>
  <c r="BC3" i="54"/>
  <c r="BC5" i="54"/>
  <c r="BC6" i="54"/>
  <c r="BC7" i="54"/>
  <c r="BC8" i="54"/>
  <c r="BD2" i="54"/>
  <c r="BD3" i="54"/>
  <c r="BD5" i="54"/>
  <c r="BD6" i="54"/>
  <c r="BD7" i="54"/>
  <c r="BD8" i="54"/>
  <c r="BE2" i="54"/>
  <c r="BE3" i="54"/>
  <c r="BE5" i="54"/>
  <c r="BE6" i="54"/>
  <c r="BE7" i="54"/>
  <c r="BE8" i="54"/>
  <c r="BF2" i="54"/>
  <c r="BF3" i="54"/>
  <c r="BF5" i="54"/>
  <c r="BF6" i="54"/>
  <c r="BF7" i="54"/>
  <c r="BF8" i="54"/>
  <c r="BG2" i="54"/>
  <c r="BG3" i="54"/>
  <c r="BG5" i="54"/>
  <c r="BG6" i="54"/>
  <c r="BG7" i="54"/>
  <c r="BG8" i="54"/>
  <c r="BG9" i="54"/>
  <c r="BH2" i="54"/>
  <c r="BH3" i="54"/>
  <c r="BH5" i="54"/>
  <c r="BH6" i="54"/>
  <c r="BH8" i="54"/>
  <c r="BH9" i="54"/>
  <c r="BI2" i="54"/>
  <c r="BI3" i="54"/>
  <c r="BI5" i="54"/>
  <c r="BI6" i="54"/>
  <c r="BI7" i="54"/>
  <c r="BI8" i="54"/>
  <c r="BI10" i="54"/>
  <c r="BJ2" i="54"/>
  <c r="BJ3" i="54"/>
  <c r="BJ5" i="54"/>
  <c r="BJ6" i="54"/>
  <c r="BJ7" i="54"/>
  <c r="BJ8" i="54"/>
  <c r="BJ10" i="54"/>
  <c r="BK2" i="54"/>
  <c r="BK3" i="54"/>
  <c r="BK5" i="54"/>
  <c r="BK6" i="54"/>
  <c r="BK7" i="54"/>
  <c r="BK8" i="54"/>
  <c r="BL2" i="54"/>
  <c r="BL3" i="54"/>
  <c r="BL5" i="54"/>
  <c r="BL6" i="54"/>
  <c r="BL7" i="54"/>
  <c r="BL8" i="54"/>
  <c r="BL10" i="54"/>
  <c r="BM2" i="54"/>
  <c r="BM3" i="54"/>
  <c r="BM5" i="54"/>
  <c r="BM6" i="54"/>
  <c r="BM7" i="54"/>
  <c r="BM8" i="54"/>
  <c r="BN2" i="54"/>
  <c r="BN3" i="54"/>
  <c r="BN5" i="54"/>
  <c r="BN6" i="54"/>
  <c r="BN7" i="54"/>
  <c r="BN8" i="54"/>
  <c r="BN11" i="54"/>
  <c r="BO2" i="54"/>
  <c r="BO3" i="54"/>
  <c r="BO5" i="54"/>
  <c r="BO6" i="54"/>
  <c r="BO7" i="54"/>
  <c r="BO8" i="54"/>
  <c r="BO11" i="54"/>
  <c r="BP2" i="54"/>
  <c r="BP3" i="54"/>
  <c r="BP5" i="54"/>
  <c r="BP6" i="54"/>
  <c r="BP7" i="54"/>
  <c r="BP8" i="54"/>
  <c r="BP10" i="54"/>
  <c r="BP11" i="54"/>
  <c r="BP12" i="54"/>
  <c r="BQ2" i="54"/>
  <c r="BQ3" i="54"/>
  <c r="BQ5" i="54"/>
  <c r="BQ6" i="54"/>
  <c r="BQ7" i="54"/>
  <c r="BQ8" i="54"/>
  <c r="BQ11" i="54"/>
  <c r="BQ12" i="54"/>
  <c r="BR2" i="54"/>
  <c r="BR3" i="54"/>
  <c r="BR5" i="54"/>
  <c r="BR6" i="54"/>
  <c r="BR7" i="54"/>
  <c r="BR8" i="54"/>
  <c r="BR11" i="54"/>
  <c r="BR12" i="54"/>
  <c r="BS2" i="54"/>
  <c r="BS3" i="54"/>
  <c r="BS5" i="54"/>
  <c r="BS6" i="54"/>
  <c r="BS7" i="54"/>
  <c r="BS8" i="54"/>
  <c r="BS12" i="54"/>
  <c r="BS13" i="54"/>
  <c r="BT2" i="54"/>
  <c r="BT3" i="54"/>
  <c r="BT5" i="54"/>
  <c r="BT6" i="54"/>
  <c r="BT7" i="54"/>
  <c r="BT8" i="54"/>
  <c r="BT12" i="54"/>
  <c r="BT13" i="54"/>
  <c r="BT14" i="54"/>
  <c r="BU2" i="54"/>
  <c r="BU3" i="54"/>
  <c r="BU5" i="54"/>
  <c r="BU6" i="54"/>
  <c r="BU7" i="54"/>
  <c r="BU8" i="54"/>
  <c r="BU12" i="54"/>
  <c r="BU13" i="54"/>
  <c r="BU14" i="54"/>
  <c r="BU15" i="54"/>
  <c r="BU19" i="54"/>
  <c r="BV2" i="54"/>
  <c r="BV3" i="54"/>
  <c r="BV5" i="54"/>
  <c r="BV6" i="54"/>
  <c r="BV7" i="54"/>
  <c r="BV8" i="54"/>
  <c r="BV12" i="54"/>
  <c r="BV13" i="54"/>
  <c r="BV14" i="54"/>
  <c r="BV15" i="54"/>
  <c r="BV19" i="54"/>
  <c r="BW2" i="54"/>
  <c r="BW3" i="54"/>
  <c r="BW5" i="54"/>
  <c r="BW6" i="54"/>
  <c r="BW7" i="54"/>
  <c r="BW8" i="54"/>
  <c r="BW12" i="54"/>
  <c r="BW13" i="54"/>
  <c r="BW14" i="54"/>
  <c r="BW15" i="54"/>
  <c r="BW19" i="54"/>
  <c r="BX2" i="54"/>
  <c r="BX3" i="54"/>
  <c r="BX5" i="54"/>
  <c r="BX6" i="54"/>
  <c r="BX7" i="54"/>
  <c r="BX8" i="54"/>
  <c r="BX12" i="54"/>
  <c r="BX13" i="54"/>
  <c r="BX14" i="54"/>
  <c r="BX15" i="54"/>
  <c r="BX19" i="54"/>
  <c r="BY2" i="54"/>
  <c r="BY3" i="54"/>
  <c r="BY5" i="54"/>
  <c r="BY6" i="54"/>
  <c r="BY7" i="54"/>
  <c r="BY8" i="54"/>
  <c r="BY12" i="54"/>
  <c r="BY13" i="54"/>
  <c r="BY14" i="54"/>
  <c r="BY15" i="54"/>
  <c r="BY19" i="54"/>
  <c r="BZ2" i="54"/>
  <c r="BZ3" i="54"/>
  <c r="BZ5" i="54"/>
  <c r="BZ6" i="54"/>
  <c r="BZ7" i="54"/>
  <c r="BZ8" i="54"/>
  <c r="BZ12" i="54"/>
  <c r="BZ13" i="54"/>
  <c r="BZ14" i="54"/>
  <c r="BZ15" i="54"/>
  <c r="BZ19" i="54"/>
  <c r="CA2" i="54"/>
  <c r="CA3" i="54"/>
  <c r="CA5" i="54"/>
  <c r="CA6" i="54"/>
  <c r="CA7" i="54"/>
  <c r="CA12" i="54"/>
  <c r="CA13" i="54"/>
  <c r="CA14" i="54"/>
  <c r="CA15" i="54"/>
  <c r="CA19" i="54"/>
  <c r="CB2" i="54"/>
  <c r="CB3" i="54"/>
  <c r="CB5" i="54"/>
  <c r="CB6" i="54"/>
  <c r="CB8" i="54"/>
  <c r="CB12" i="54"/>
  <c r="CB14" i="54"/>
  <c r="CB15" i="54"/>
  <c r="CB19" i="54"/>
  <c r="CC2" i="54"/>
  <c r="CC3" i="54"/>
  <c r="CC5" i="54"/>
  <c r="CC6" i="54"/>
  <c r="CC12" i="54"/>
  <c r="CC14" i="54"/>
  <c r="CC15" i="54"/>
  <c r="CC19" i="54"/>
  <c r="CC20" i="54"/>
  <c r="CD2" i="54"/>
  <c r="CD3" i="54"/>
  <c r="CD5" i="54"/>
  <c r="CD6" i="54"/>
  <c r="CD12" i="54"/>
  <c r="CD14" i="54"/>
  <c r="CD15" i="54"/>
  <c r="CD19" i="54"/>
  <c r="CD20" i="54"/>
  <c r="CE2" i="54"/>
  <c r="CE3" i="54"/>
  <c r="CE5" i="54"/>
  <c r="CE6" i="54"/>
  <c r="CE12" i="54"/>
  <c r="CE14" i="54"/>
  <c r="CE15" i="54"/>
  <c r="CE19" i="54"/>
  <c r="CE20" i="54"/>
  <c r="CE21" i="54"/>
  <c r="CF2" i="54"/>
  <c r="CF3" i="54"/>
  <c r="CF5" i="54"/>
  <c r="CF6" i="54"/>
  <c r="CF12" i="54"/>
  <c r="CF14" i="54"/>
  <c r="CF19" i="54"/>
  <c r="CF20" i="54"/>
  <c r="CF21" i="54"/>
  <c r="CG2" i="54"/>
  <c r="CG3" i="54"/>
  <c r="CG5" i="54"/>
  <c r="CG6" i="54"/>
  <c r="CG12" i="54"/>
  <c r="CG14" i="54"/>
  <c r="CG20" i="54"/>
  <c r="CG21" i="54"/>
  <c r="CH2" i="54"/>
  <c r="CH3" i="54"/>
  <c r="CH5" i="54"/>
  <c r="CH6" i="54"/>
  <c r="CH12" i="54"/>
  <c r="CH14" i="54"/>
  <c r="CH20" i="54"/>
  <c r="CH21" i="54"/>
  <c r="CH23" i="54"/>
  <c r="CI2" i="54"/>
  <c r="CI3" i="54"/>
  <c r="CI5" i="54"/>
  <c r="CI6" i="54"/>
  <c r="CI12" i="54"/>
  <c r="CI14" i="54"/>
  <c r="CI20" i="54"/>
  <c r="CI21" i="54"/>
  <c r="CI23" i="54"/>
  <c r="N2" i="13"/>
  <c r="N3" i="13"/>
  <c r="N4" i="13"/>
  <c r="N5" i="13"/>
  <c r="N6" i="13"/>
  <c r="N10" i="13"/>
  <c r="N21" i="13"/>
  <c r="O2" i="13"/>
  <c r="O3" i="13"/>
  <c r="O4" i="13"/>
  <c r="O5" i="13"/>
  <c r="O6" i="13"/>
  <c r="O7" i="13"/>
  <c r="O10" i="13"/>
  <c r="P2" i="13"/>
  <c r="P3" i="13"/>
  <c r="P4" i="13"/>
  <c r="P5" i="13"/>
  <c r="P6" i="13"/>
  <c r="P7" i="13"/>
  <c r="P10" i="13"/>
  <c r="P21" i="13"/>
  <c r="Q2" i="13"/>
  <c r="Q3" i="13"/>
  <c r="Q4" i="13"/>
  <c r="Q5" i="13"/>
  <c r="Q7" i="13"/>
  <c r="Q15" i="13"/>
  <c r="Q22" i="13"/>
  <c r="N31" i="13"/>
  <c r="O31" i="13" s="1"/>
  <c r="P31" i="13" s="1"/>
  <c r="Q31" i="13" s="1"/>
  <c r="R31" i="13" s="1"/>
  <c r="S31" i="13" s="1"/>
  <c r="T31" i="13" s="1"/>
  <c r="U31" i="13" s="1"/>
  <c r="R2" i="13"/>
  <c r="R3" i="13"/>
  <c r="R4" i="13"/>
  <c r="R5" i="13"/>
  <c r="R7" i="13"/>
  <c r="R15" i="13"/>
  <c r="S2" i="13"/>
  <c r="S3" i="13"/>
  <c r="S4" i="13"/>
  <c r="S5" i="13"/>
  <c r="S7" i="13"/>
  <c r="S14" i="13"/>
  <c r="S15" i="13"/>
  <c r="S24" i="13"/>
  <c r="M34" i="13"/>
  <c r="J2" i="68"/>
  <c r="J3" i="68"/>
  <c r="J4" i="68"/>
  <c r="J5" i="68"/>
  <c r="J6" i="68"/>
  <c r="J7" i="68"/>
  <c r="J8" i="68"/>
  <c r="J9" i="68"/>
  <c r="J10" i="68"/>
  <c r="J11" i="68"/>
  <c r="J12" i="68"/>
  <c r="J13" i="68"/>
  <c r="J14" i="68"/>
  <c r="K2" i="68"/>
  <c r="K3" i="68"/>
  <c r="K4" i="68"/>
  <c r="K5" i="68"/>
  <c r="K6" i="68"/>
  <c r="K7" i="68"/>
  <c r="K8" i="68"/>
  <c r="K10" i="68"/>
  <c r="K11" i="68"/>
  <c r="K12" i="68"/>
  <c r="K13" i="68"/>
  <c r="K14" i="68"/>
  <c r="K16" i="68"/>
  <c r="K17" i="68"/>
  <c r="L2" i="68"/>
  <c r="L3" i="68"/>
  <c r="L4" i="68"/>
  <c r="L5" i="68"/>
  <c r="L6" i="68"/>
  <c r="L7" i="68"/>
  <c r="L10" i="68"/>
  <c r="L11" i="68"/>
  <c r="L12" i="68"/>
  <c r="L13" i="68"/>
  <c r="L14" i="68"/>
  <c r="L16" i="68"/>
  <c r="J24" i="68"/>
  <c r="K24" i="68"/>
  <c r="L24" i="68" s="1"/>
  <c r="U8" i="10"/>
  <c r="U3" i="10"/>
  <c r="U4" i="10"/>
  <c r="U5" i="10"/>
  <c r="U2" i="10"/>
  <c r="T2" i="10"/>
  <c r="T3" i="10"/>
  <c r="T4" i="10"/>
  <c r="T5" i="10"/>
  <c r="S3" i="10"/>
  <c r="S4" i="10"/>
  <c r="S5" i="10"/>
  <c r="S2" i="10"/>
  <c r="R3" i="10"/>
  <c r="R4" i="10"/>
  <c r="R5" i="10"/>
  <c r="R2" i="10"/>
  <c r="Q3" i="10"/>
  <c r="Q4" i="10"/>
  <c r="Q5" i="10"/>
  <c r="Q2" i="10"/>
  <c r="P3" i="10"/>
  <c r="P4" i="10"/>
  <c r="P5" i="10"/>
  <c r="P2" i="10"/>
  <c r="O3" i="10"/>
  <c r="O4" i="10"/>
  <c r="O5" i="10"/>
  <c r="O2" i="10"/>
  <c r="N19" i="10"/>
  <c r="O21" i="10"/>
  <c r="P21" i="10"/>
  <c r="Q21" i="10" s="1"/>
  <c r="R21" i="10" s="1"/>
  <c r="S21" i="10" s="1"/>
  <c r="T21" i="10" s="1"/>
  <c r="U21" i="10" s="1"/>
  <c r="V21" i="10" s="1"/>
  <c r="W21" i="10" s="1"/>
  <c r="N24" i="10"/>
  <c r="P10" i="29"/>
  <c r="P3" i="29"/>
  <c r="P2" i="29"/>
  <c r="O3" i="29"/>
  <c r="O4" i="29"/>
  <c r="O10" i="29"/>
  <c r="O12" i="29"/>
  <c r="O2" i="29"/>
  <c r="N3" i="29"/>
  <c r="N4" i="29"/>
  <c r="N10" i="29"/>
  <c r="N11" i="29"/>
  <c r="N13" i="29"/>
  <c r="N2" i="29"/>
  <c r="M13" i="29"/>
  <c r="M12" i="29"/>
  <c r="M3" i="29"/>
  <c r="M4" i="29"/>
  <c r="M10" i="29"/>
  <c r="M11" i="29"/>
  <c r="M2" i="29"/>
  <c r="M22" i="29"/>
  <c r="N22" i="29"/>
  <c r="O22" i="29" s="1"/>
  <c r="P22" i="29" s="1"/>
  <c r="Q22" i="29" s="1"/>
  <c r="R22" i="29" s="1"/>
  <c r="L16" i="29"/>
  <c r="L20" i="29" s="1"/>
  <c r="P9" i="29"/>
  <c r="AN3" i="53"/>
  <c r="AN4" i="53"/>
  <c r="AN2" i="53"/>
  <c r="AM3" i="53"/>
  <c r="AM4" i="53"/>
  <c r="AM5" i="53"/>
  <c r="AM2" i="53"/>
  <c r="AL3" i="53"/>
  <c r="AL4" i="53"/>
  <c r="AL2" i="53"/>
  <c r="AN7" i="53"/>
  <c r="AN6" i="53"/>
  <c r="AM6" i="53"/>
  <c r="AL6" i="53"/>
  <c r="AK3" i="53"/>
  <c r="AK4" i="53"/>
  <c r="AK5" i="53"/>
  <c r="AK2" i="53"/>
  <c r="AJ3" i="53"/>
  <c r="AJ4" i="53"/>
  <c r="AJ5" i="53"/>
  <c r="AJ2" i="53"/>
  <c r="AI3" i="53"/>
  <c r="AI4" i="53"/>
  <c r="AI5" i="53"/>
  <c r="AI2" i="53"/>
  <c r="AK6" i="53"/>
  <c r="AP6" i="53"/>
  <c r="AS10" i="53"/>
  <c r="AB18" i="52"/>
  <c r="AB23" i="52" s="1"/>
  <c r="AC2" i="52"/>
  <c r="AC3" i="52"/>
  <c r="AC4" i="52"/>
  <c r="AD2" i="52"/>
  <c r="AD3" i="52"/>
  <c r="AD4" i="52"/>
  <c r="AD5" i="52"/>
  <c r="AE2" i="52"/>
  <c r="AE3" i="52"/>
  <c r="AE4" i="52"/>
  <c r="AF2" i="52"/>
  <c r="AF3" i="52"/>
  <c r="AF4" i="52"/>
  <c r="AF6" i="52"/>
  <c r="AG2" i="52"/>
  <c r="AG3" i="52"/>
  <c r="AG4" i="52"/>
  <c r="AG6" i="52"/>
  <c r="AH2" i="52"/>
  <c r="AH3" i="52"/>
  <c r="AH4" i="52"/>
  <c r="AH6" i="52"/>
  <c r="AI2" i="52"/>
  <c r="AI3" i="52"/>
  <c r="AI4" i="52"/>
  <c r="AI6" i="52"/>
  <c r="AI8" i="52"/>
  <c r="AJ2" i="52"/>
  <c r="AJ3" i="52"/>
  <c r="AJ4" i="52"/>
  <c r="AJ6" i="52"/>
  <c r="AK2" i="52"/>
  <c r="AK3" i="52"/>
  <c r="AK4" i="52"/>
  <c r="AK6" i="52"/>
  <c r="AL2" i="52"/>
  <c r="AL3" i="52"/>
  <c r="AL4" i="52"/>
  <c r="AL6" i="52"/>
  <c r="AM2" i="52"/>
  <c r="AM3" i="52"/>
  <c r="AM4" i="52"/>
  <c r="AM6" i="52"/>
  <c r="AN2" i="52"/>
  <c r="AN3" i="52"/>
  <c r="AN4" i="52"/>
  <c r="AN6" i="52"/>
  <c r="AO2" i="52"/>
  <c r="AO3" i="52"/>
  <c r="AO4" i="52"/>
  <c r="AO6" i="52"/>
  <c r="AO7" i="52"/>
  <c r="AP2" i="52"/>
  <c r="AP3" i="52"/>
  <c r="AP4" i="52"/>
  <c r="AP6" i="52"/>
  <c r="AP7" i="52"/>
  <c r="AQ2" i="52"/>
  <c r="AQ3" i="52"/>
  <c r="AQ4" i="52"/>
  <c r="AQ6" i="52"/>
  <c r="AQ7" i="52"/>
  <c r="AQ12" i="52"/>
  <c r="AR2" i="52"/>
  <c r="AR14" i="52" s="1"/>
  <c r="AR3" i="52"/>
  <c r="AR4" i="52"/>
  <c r="AR6" i="52"/>
  <c r="AR7" i="52"/>
  <c r="AR12" i="52"/>
  <c r="AS2" i="52"/>
  <c r="AS3" i="52"/>
  <c r="AS4" i="52"/>
  <c r="AS6" i="52"/>
  <c r="AS7" i="52"/>
  <c r="AS12" i="52"/>
  <c r="AT2" i="52"/>
  <c r="AT3" i="52"/>
  <c r="AT4" i="52"/>
  <c r="AT6" i="52"/>
  <c r="AT7" i="52"/>
  <c r="AU2" i="52"/>
  <c r="AU3" i="52"/>
  <c r="AU4" i="52"/>
  <c r="AU6" i="52"/>
  <c r="AU7" i="52"/>
  <c r="AU12" i="52"/>
  <c r="AU13" i="52"/>
  <c r="AV2" i="52"/>
  <c r="AV3" i="52"/>
  <c r="AV4" i="52"/>
  <c r="AV6" i="52"/>
  <c r="AV7" i="52"/>
  <c r="AV13" i="52"/>
  <c r="AC20" i="52"/>
  <c r="AD20" i="52" s="1"/>
  <c r="AE20" i="52" s="1"/>
  <c r="AF20" i="52" s="1"/>
  <c r="AG20" i="52" s="1"/>
  <c r="AH20" i="52" s="1"/>
  <c r="AI20" i="52" s="1"/>
  <c r="AJ20" i="52" s="1"/>
  <c r="AK20" i="52" s="1"/>
  <c r="AL20" i="52" s="1"/>
  <c r="AM20" i="52" s="1"/>
  <c r="AN20" i="52" s="1"/>
  <c r="AO20" i="52" s="1"/>
  <c r="AP20" i="52" s="1"/>
  <c r="AQ20" i="52" s="1"/>
  <c r="AR20" i="52" s="1"/>
  <c r="AS20" i="52" s="1"/>
  <c r="AT20" i="52" s="1"/>
  <c r="AU20" i="52" s="1"/>
  <c r="AV20" i="52" s="1"/>
  <c r="AW20" i="52" s="1"/>
  <c r="AX20" i="52" s="1"/>
  <c r="L3" i="43"/>
  <c r="L4" i="43"/>
  <c r="L2" i="43"/>
  <c r="K3" i="43"/>
  <c r="K7" i="43"/>
  <c r="K2" i="43"/>
  <c r="K8" i="43" s="1"/>
  <c r="J3" i="43"/>
  <c r="J4" i="43"/>
  <c r="J7" i="43"/>
  <c r="J2" i="43"/>
  <c r="L6" i="43"/>
  <c r="J14" i="43"/>
  <c r="K14" i="43" s="1"/>
  <c r="L14" i="43" s="1"/>
  <c r="Q9" i="19"/>
  <c r="P9" i="19"/>
  <c r="R2" i="19"/>
  <c r="R6" i="19"/>
  <c r="Q6" i="19"/>
  <c r="Q11" i="19"/>
  <c r="L24" i="19"/>
  <c r="M2" i="19"/>
  <c r="M3" i="19"/>
  <c r="M4" i="19"/>
  <c r="M5" i="19"/>
  <c r="N2" i="19"/>
  <c r="N20" i="19" s="1"/>
  <c r="O2" i="19"/>
  <c r="O6" i="19"/>
  <c r="P2" i="19"/>
  <c r="P6" i="19"/>
  <c r="M26" i="19"/>
  <c r="N26" i="19"/>
  <c r="O26" i="19"/>
  <c r="P26" i="19" s="1"/>
  <c r="Q26" i="19" s="1"/>
  <c r="R26" i="19" s="1"/>
  <c r="S26" i="19" s="1"/>
  <c r="R14" i="19"/>
  <c r="M11" i="36"/>
  <c r="M13" i="36"/>
  <c r="L13" i="36"/>
  <c r="L11" i="36"/>
  <c r="K21" i="36"/>
  <c r="L21" i="36"/>
  <c r="M21" i="36"/>
  <c r="N21" i="36" s="1"/>
  <c r="O21" i="36" s="1"/>
  <c r="J19" i="36"/>
  <c r="J24" i="36" s="1"/>
  <c r="K2" i="36"/>
  <c r="K3" i="36"/>
  <c r="K4" i="36"/>
  <c r="K5" i="36"/>
  <c r="K6" i="36"/>
  <c r="K7" i="36"/>
  <c r="K8" i="36"/>
  <c r="K9" i="36"/>
  <c r="K10" i="36"/>
  <c r="L2" i="36"/>
  <c r="L3" i="36"/>
  <c r="L4" i="36"/>
  <c r="L6" i="36"/>
  <c r="L7" i="36"/>
  <c r="L8" i="36"/>
  <c r="L9" i="36"/>
  <c r="L10" i="36"/>
  <c r="L14" i="36"/>
  <c r="M2" i="36"/>
  <c r="M3" i="36"/>
  <c r="M4" i="36"/>
  <c r="M6" i="36"/>
  <c r="M7" i="36"/>
  <c r="M8" i="36"/>
  <c r="M9" i="36"/>
  <c r="M10" i="36"/>
  <c r="M14" i="36"/>
  <c r="G5" i="48"/>
  <c r="G9" i="48" s="1"/>
  <c r="O14" i="28"/>
  <c r="O13" i="28"/>
  <c r="O21" i="28" s="1"/>
  <c r="P14" i="28"/>
  <c r="P13" i="28"/>
  <c r="M21" i="28"/>
  <c r="M25" i="28" s="1"/>
  <c r="R13" i="28"/>
  <c r="R16" i="28"/>
  <c r="R20" i="28"/>
  <c r="S20" i="28"/>
  <c r="V31" i="64"/>
  <c r="V35" i="64" s="1"/>
  <c r="AH2" i="64"/>
  <c r="AH10" i="64"/>
  <c r="K20" i="72"/>
  <c r="H2" i="48"/>
  <c r="H4" i="48"/>
  <c r="H3" i="42"/>
  <c r="H4" i="42"/>
  <c r="H5" i="42"/>
  <c r="H2" i="42"/>
  <c r="P29" i="30" l="1"/>
  <c r="AU25" i="53"/>
  <c r="BC25" i="53"/>
  <c r="AN29" i="20"/>
  <c r="Y29" i="20"/>
  <c r="AL29" i="20"/>
  <c r="AF29" i="20"/>
  <c r="X33" i="20"/>
  <c r="X38" i="20" s="1"/>
  <c r="X12" i="4"/>
  <c r="O16" i="29"/>
  <c r="AP14" i="52"/>
  <c r="AV14" i="52"/>
  <c r="AQ14" i="52"/>
  <c r="AN14" i="65"/>
  <c r="AA23" i="7"/>
  <c r="AB23" i="7"/>
  <c r="AC23" i="7"/>
  <c r="AZ31" i="61"/>
  <c r="AL31" i="61"/>
  <c r="AN31" i="61"/>
  <c r="AW31" i="61"/>
  <c r="BI20" i="63"/>
  <c r="AW20" i="63"/>
  <c r="BV20" i="63"/>
  <c r="AQ20" i="63"/>
  <c r="BE20" i="63"/>
  <c r="AZ20" i="63"/>
  <c r="BF20" i="63"/>
  <c r="AG17" i="56"/>
  <c r="AR17" i="56"/>
  <c r="AH17" i="56"/>
  <c r="N21" i="28"/>
  <c r="P21" i="28"/>
  <c r="AJ31" i="64"/>
  <c r="AL31" i="64"/>
  <c r="AB31" i="64"/>
  <c r="AK31" i="64"/>
  <c r="Y31" i="64"/>
  <c r="AI31" i="64"/>
  <c r="AD31" i="64"/>
  <c r="AF31" i="64"/>
  <c r="W31" i="64"/>
  <c r="W35" i="64" s="1"/>
  <c r="X31" i="64"/>
  <c r="AB20" i="70"/>
  <c r="Q22" i="41"/>
  <c r="CA24" i="54"/>
  <c r="AX24" i="54"/>
  <c r="CG24" i="54"/>
  <c r="CF24" i="54"/>
  <c r="BY24" i="54"/>
  <c r="AY24" i="54"/>
  <c r="BX24" i="54"/>
  <c r="CI24" i="54"/>
  <c r="CJ24" i="54"/>
  <c r="BB24" i="54"/>
  <c r="BE24" i="54"/>
  <c r="BC24" i="54"/>
  <c r="V12" i="4"/>
  <c r="AA12" i="4"/>
  <c r="P38" i="37"/>
  <c r="U38" i="37"/>
  <c r="AT17" i="62"/>
  <c r="AL17" i="62"/>
  <c r="BA17" i="62"/>
  <c r="AS17" i="62"/>
  <c r="BK17" i="62"/>
  <c r="BN17" i="62"/>
  <c r="P19" i="12"/>
  <c r="L18" i="68"/>
  <c r="S24" i="33"/>
  <c r="AN17" i="62"/>
  <c r="BM18" i="60"/>
  <c r="AO18" i="60"/>
  <c r="AK18" i="60"/>
  <c r="AK22" i="60" s="1"/>
  <c r="AJ20" i="77"/>
  <c r="AH20" i="77"/>
  <c r="N15" i="36"/>
  <c r="AW14" i="52"/>
  <c r="AO23" i="7"/>
  <c r="AM29" i="20"/>
  <c r="AD14" i="52"/>
  <c r="BH24" i="54"/>
  <c r="BF24" i="54"/>
  <c r="P8" i="45"/>
  <c r="AK17" i="58"/>
  <c r="AJ17" i="58"/>
  <c r="AI17" i="58"/>
  <c r="T34" i="14"/>
  <c r="R34" i="14"/>
  <c r="R24" i="33"/>
  <c r="BE14" i="65"/>
  <c r="AR18" i="60"/>
  <c r="V20" i="77"/>
  <c r="V24" i="77" s="1"/>
  <c r="AC31" i="64"/>
  <c r="Y23" i="7"/>
  <c r="Y27" i="7" s="1"/>
  <c r="R20" i="39"/>
  <c r="Y12" i="4"/>
  <c r="AD20" i="77"/>
  <c r="U29" i="77"/>
  <c r="S20" i="70"/>
  <c r="S24" i="70" s="1"/>
  <c r="AG31" i="64"/>
  <c r="V21" i="40"/>
  <c r="O20" i="19"/>
  <c r="AD23" i="7"/>
  <c r="S20" i="39"/>
  <c r="W12" i="4"/>
  <c r="H5" i="48"/>
  <c r="AZ24" i="54"/>
  <c r="AO17" i="58"/>
  <c r="AF17" i="58"/>
  <c r="AU14" i="52"/>
  <c r="BV24" i="54"/>
  <c r="AC17" i="56"/>
  <c r="BM24" i="54"/>
  <c r="L11" i="73"/>
  <c r="U20" i="70"/>
  <c r="AH23" i="25"/>
  <c r="AF14" i="52"/>
  <c r="BT24" i="54"/>
  <c r="L12" i="45"/>
  <c r="M12" i="45" s="1"/>
  <c r="O8" i="45"/>
  <c r="AO17" i="56"/>
  <c r="AA17" i="58"/>
  <c r="S7" i="3"/>
  <c r="M11" i="49"/>
  <c r="AS20" i="63"/>
  <c r="BA20" i="63"/>
  <c r="BJ17" i="62"/>
  <c r="BE17" i="62"/>
  <c r="Z31" i="64"/>
  <c r="AX25" i="53"/>
  <c r="BF25" i="53"/>
  <c r="Q29" i="30"/>
  <c r="AV31" i="61"/>
  <c r="T19" i="12"/>
  <c r="AD12" i="4"/>
  <c r="AC29" i="20"/>
  <c r="AA29" i="20"/>
  <c r="AM17" i="58"/>
  <c r="CD24" i="54"/>
  <c r="AQ17" i="56"/>
  <c r="N11" i="73"/>
  <c r="K11" i="73"/>
  <c r="AW17" i="62"/>
  <c r="BD24" i="54"/>
  <c r="L15" i="44"/>
  <c r="K15" i="44"/>
  <c r="K19" i="44" s="1"/>
  <c r="O19" i="12"/>
  <c r="O38" i="37"/>
  <c r="O42" i="37" s="1"/>
  <c r="AC13" i="2"/>
  <c r="Y13" i="2"/>
  <c r="AX20" i="63"/>
  <c r="BJ20" i="63"/>
  <c r="BP20" i="63"/>
  <c r="BM17" i="62"/>
  <c r="AC20" i="77"/>
  <c r="W38" i="20"/>
  <c r="P18" i="34"/>
  <c r="AG27" i="16"/>
  <c r="R29" i="30"/>
  <c r="W21" i="40"/>
  <c r="AT31" i="61"/>
  <c r="AP31" i="61"/>
  <c r="AE12" i="4"/>
  <c r="AH29" i="20"/>
  <c r="S13" i="51"/>
  <c r="N7" i="18"/>
  <c r="X20" i="77"/>
  <c r="AH14" i="52"/>
  <c r="AH31" i="64"/>
  <c r="K18" i="68"/>
  <c r="AT14" i="52"/>
  <c r="AS14" i="52"/>
  <c r="AO14" i="52"/>
  <c r="AM14" i="52"/>
  <c r="AK14" i="52"/>
  <c r="AI14" i="52"/>
  <c r="P16" i="29"/>
  <c r="BJ24" i="54"/>
  <c r="BI24" i="54"/>
  <c r="AV24" i="54"/>
  <c r="AV28" i="54" s="1"/>
  <c r="M15" i="44"/>
  <c r="AC17" i="58"/>
  <c r="N19" i="12"/>
  <c r="O24" i="33"/>
  <c r="U13" i="2"/>
  <c r="BB20" i="63"/>
  <c r="AY20" i="63"/>
  <c r="BC20" i="63"/>
  <c r="X20" i="70"/>
  <c r="M18" i="34"/>
  <c r="AO31" i="61"/>
  <c r="Z12" i="4"/>
  <c r="AI29" i="20"/>
  <c r="AL17" i="56"/>
  <c r="AN17" i="58"/>
  <c r="AG17" i="58"/>
  <c r="AB13" i="2"/>
  <c r="BB17" i="62"/>
  <c r="AO17" i="62"/>
  <c r="AS18" i="60"/>
  <c r="AS27" i="16"/>
  <c r="L15" i="36"/>
  <c r="R20" i="19"/>
  <c r="L8" i="43"/>
  <c r="J18" i="68"/>
  <c r="O25" i="13"/>
  <c r="CE24" i="54"/>
  <c r="CC24" i="54"/>
  <c r="BL24" i="54"/>
  <c r="BG24" i="54"/>
  <c r="N8" i="45"/>
  <c r="AJ17" i="56"/>
  <c r="AI17" i="56"/>
  <c r="AE17" i="56"/>
  <c r="R13" i="51"/>
  <c r="N13" i="51"/>
  <c r="N17" i="51" s="1"/>
  <c r="O17" i="51" s="1"/>
  <c r="K15" i="73"/>
  <c r="K20" i="73" s="1"/>
  <c r="K14" i="69"/>
  <c r="P7" i="18"/>
  <c r="J18" i="72"/>
  <c r="P24" i="33"/>
  <c r="AA13" i="2"/>
  <c r="N17" i="66"/>
  <c r="BN20" i="63"/>
  <c r="BI17" i="62"/>
  <c r="BG17" i="62"/>
  <c r="BF17" i="62"/>
  <c r="AP18" i="60"/>
  <c r="AA23" i="25"/>
  <c r="N18" i="34"/>
  <c r="AY25" i="53"/>
  <c r="BG25" i="53"/>
  <c r="T22" i="41"/>
  <c r="T25" i="13"/>
  <c r="BH31" i="61"/>
  <c r="Z23" i="7"/>
  <c r="AK29" i="20"/>
  <c r="AG29" i="20"/>
  <c r="AD29" i="20"/>
  <c r="I18" i="72"/>
  <c r="T13" i="2"/>
  <c r="T17" i="2" s="1"/>
  <c r="S17" i="66"/>
  <c r="BK20" i="63"/>
  <c r="AO20" i="63"/>
  <c r="AO24" i="63" s="1"/>
  <c r="BH17" i="62"/>
  <c r="AQ17" i="62"/>
  <c r="AL23" i="25"/>
  <c r="J8" i="43"/>
  <c r="AG14" i="52"/>
  <c r="AC14" i="52"/>
  <c r="AC18" i="52" s="1"/>
  <c r="AM25" i="53"/>
  <c r="R25" i="13"/>
  <c r="BZ24" i="54"/>
  <c r="BU24" i="54"/>
  <c r="AP17" i="56"/>
  <c r="AF17" i="56"/>
  <c r="S19" i="12"/>
  <c r="Q24" i="33"/>
  <c r="N24" i="33"/>
  <c r="N28" i="33" s="1"/>
  <c r="W13" i="2"/>
  <c r="R17" i="66"/>
  <c r="O17" i="66"/>
  <c r="BL20" i="63"/>
  <c r="BD20" i="63"/>
  <c r="BC17" i="62"/>
  <c r="AY17" i="62"/>
  <c r="AR17" i="62"/>
  <c r="AK17" i="62"/>
  <c r="AK21" i="62" s="1"/>
  <c r="AL21" i="62" s="1"/>
  <c r="BB18" i="60"/>
  <c r="AN18" i="60"/>
  <c r="AG20" i="77"/>
  <c r="AF23" i="25"/>
  <c r="Q21" i="28"/>
  <c r="AA31" i="64"/>
  <c r="AE31" i="64"/>
  <c r="L18" i="34"/>
  <c r="L22" i="34" s="1"/>
  <c r="AT25" i="53"/>
  <c r="BB25" i="53"/>
  <c r="BJ25" i="53"/>
  <c r="AF27" i="16"/>
  <c r="AX31" i="61"/>
  <c r="AQ31" i="61"/>
  <c r="V38" i="37"/>
  <c r="T20" i="39"/>
  <c r="AB29" i="20"/>
  <c r="P17" i="66"/>
  <c r="AR20" i="63"/>
  <c r="AX17" i="62"/>
  <c r="M15" i="36"/>
  <c r="AN14" i="52"/>
  <c r="AL14" i="52"/>
  <c r="AE14" i="52"/>
  <c r="S25" i="13"/>
  <c r="BW24" i="54"/>
  <c r="BS24" i="54"/>
  <c r="BR24" i="54"/>
  <c r="BQ24" i="54"/>
  <c r="BP24" i="54"/>
  <c r="BN24" i="54"/>
  <c r="AB17" i="56"/>
  <c r="R38" i="37"/>
  <c r="U34" i="14"/>
  <c r="P34" i="14"/>
  <c r="O34" i="14"/>
  <c r="O38" i="14" s="1"/>
  <c r="BR20" i="63"/>
  <c r="BQ20" i="63"/>
  <c r="BG20" i="63"/>
  <c r="BL17" i="62"/>
  <c r="AP17" i="62"/>
  <c r="BC18" i="60"/>
  <c r="AF20" i="77"/>
  <c r="Z23" i="25"/>
  <c r="AB23" i="25"/>
  <c r="AD23" i="25"/>
  <c r="O18" i="34"/>
  <c r="AZ27" i="16"/>
  <c r="AT27" i="16"/>
  <c r="AH27" i="16"/>
  <c r="BI31" i="61"/>
  <c r="BF31" i="61"/>
  <c r="BA27" i="16"/>
  <c r="T24" i="33"/>
  <c r="AH23" i="7"/>
  <c r="AG23" i="7"/>
  <c r="Z29" i="20"/>
  <c r="AN17" i="56"/>
  <c r="X13" i="2"/>
  <c r="AU17" i="62"/>
  <c r="AE23" i="25"/>
  <c r="AJ14" i="52"/>
  <c r="N16" i="29"/>
  <c r="CH24" i="54"/>
  <c r="CB24" i="54"/>
  <c r="BO24" i="54"/>
  <c r="BK24" i="54"/>
  <c r="BA24" i="54"/>
  <c r="M8" i="45"/>
  <c r="AM17" i="56"/>
  <c r="AA17" i="56"/>
  <c r="AA21" i="56" s="1"/>
  <c r="AA26" i="56" s="1"/>
  <c r="J11" i="57"/>
  <c r="P13" i="51"/>
  <c r="AP17" i="58"/>
  <c r="Z17" i="58"/>
  <c r="Z21" i="58" s="1"/>
  <c r="R19" i="12"/>
  <c r="Q19" i="12"/>
  <c r="L10" i="31"/>
  <c r="S38" i="37"/>
  <c r="Q38" i="37"/>
  <c r="O7" i="18"/>
  <c r="R7" i="18"/>
  <c r="Z13" i="2"/>
  <c r="BO20" i="63"/>
  <c r="AP20" i="63"/>
  <c r="BD17" i="62"/>
  <c r="AZ17" i="62"/>
  <c r="AM17" i="62"/>
  <c r="AW18" i="60"/>
  <c r="BD19" i="59"/>
  <c r="AG23" i="25"/>
  <c r="AQ25" i="53"/>
  <c r="S7" i="18"/>
  <c r="AR31" i="61"/>
  <c r="T21" i="28"/>
  <c r="AJ29" i="20"/>
  <c r="AI14" i="65"/>
  <c r="BG14" i="65"/>
  <c r="BH14" i="65"/>
  <c r="BD14" i="65"/>
  <c r="BB14" i="65"/>
  <c r="BA14" i="65"/>
  <c r="AZ14" i="65"/>
  <c r="AY14" i="65"/>
  <c r="AX14" i="65"/>
  <c r="AW14" i="65"/>
  <c r="AV14" i="65"/>
  <c r="AU14" i="65"/>
  <c r="AT14" i="65"/>
  <c r="AQ14" i="65"/>
  <c r="BF14" i="65"/>
  <c r="BC14" i="65"/>
  <c r="AH14" i="65"/>
  <c r="AH18" i="65" s="1"/>
  <c r="AS14" i="65"/>
  <c r="AR14" i="65"/>
  <c r="AM14" i="65"/>
  <c r="AP14" i="65"/>
  <c r="AL14" i="65"/>
  <c r="AJ14" i="65"/>
  <c r="AO14" i="65"/>
  <c r="AK14" i="65"/>
  <c r="X34" i="27"/>
  <c r="V34" i="27"/>
  <c r="Y34" i="27"/>
  <c r="BL18" i="60"/>
  <c r="AM18" i="60"/>
  <c r="BJ18" i="60"/>
  <c r="BH18" i="60"/>
  <c r="BN18" i="60"/>
  <c r="AQ18" i="60"/>
  <c r="AP27" i="16"/>
  <c r="AM27" i="16"/>
  <c r="P25" i="13"/>
  <c r="N25" i="13"/>
  <c r="N29" i="13" s="1"/>
  <c r="N34" i="13" s="1"/>
  <c r="Q25" i="13"/>
  <c r="K17" i="32"/>
  <c r="L21" i="38"/>
  <c r="L25" i="38" s="1"/>
  <c r="L30" i="38" s="1"/>
  <c r="O21" i="38"/>
  <c r="N21" i="38"/>
  <c r="M21" i="38"/>
  <c r="O29" i="30"/>
  <c r="N29" i="30"/>
  <c r="N33" i="30" s="1"/>
  <c r="Q34" i="14"/>
  <c r="S34" i="14"/>
  <c r="AJ19" i="59"/>
  <c r="BF19" i="59"/>
  <c r="BJ19" i="59"/>
  <c r="BG19" i="59"/>
  <c r="BH19" i="59"/>
  <c r="BE19" i="59"/>
  <c r="AN19" i="59"/>
  <c r="BI19" i="59"/>
  <c r="BA19" i="59"/>
  <c r="BK19" i="59"/>
  <c r="AR19" i="59"/>
  <c r="AV19" i="59"/>
  <c r="AY19" i="59"/>
  <c r="AZ19" i="59"/>
  <c r="S22" i="41"/>
  <c r="P22" i="41"/>
  <c r="O22" i="41"/>
  <c r="O26" i="41" s="1"/>
  <c r="R22" i="41"/>
  <c r="M16" i="29"/>
  <c r="M20" i="29" s="1"/>
  <c r="J22" i="68"/>
  <c r="O29" i="13"/>
  <c r="J12" i="43"/>
  <c r="AC23" i="52"/>
  <c r="P20" i="19"/>
  <c r="H12" i="42"/>
  <c r="M30" i="28"/>
  <c r="N25" i="28"/>
  <c r="G14" i="48"/>
  <c r="H9" i="48"/>
  <c r="H14" i="48" s="1"/>
  <c r="L29" i="19"/>
  <c r="M20" i="19"/>
  <c r="M24" i="19" s="1"/>
  <c r="L25" i="29"/>
  <c r="O15" i="10"/>
  <c r="O19" i="10" s="1"/>
  <c r="P15" i="10"/>
  <c r="Q15" i="10"/>
  <c r="R15" i="10"/>
  <c r="S15" i="10"/>
  <c r="U15" i="10"/>
  <c r="O43" i="14"/>
  <c r="AN25" i="53"/>
  <c r="AS17" i="56"/>
  <c r="J21" i="32"/>
  <c r="I26" i="32"/>
  <c r="I15" i="57"/>
  <c r="H20" i="57"/>
  <c r="K14" i="31"/>
  <c r="J19" i="31"/>
  <c r="N31" i="41"/>
  <c r="H27" i="72"/>
  <c r="I22" i="72"/>
  <c r="AI25" i="53"/>
  <c r="AI29" i="53" s="1"/>
  <c r="AJ25" i="53"/>
  <c r="AK25" i="53"/>
  <c r="AL25" i="53"/>
  <c r="N23" i="12"/>
  <c r="M28" i="12"/>
  <c r="M11" i="18"/>
  <c r="L16" i="18"/>
  <c r="S11" i="3"/>
  <c r="G15" i="74"/>
  <c r="H10" i="74"/>
  <c r="H15" i="74" s="1"/>
  <c r="V40" i="64"/>
  <c r="K15" i="36"/>
  <c r="K19" i="36" s="1"/>
  <c r="Q20" i="19"/>
  <c r="T15" i="10"/>
  <c r="Z26" i="58"/>
  <c r="AA21" i="58"/>
  <c r="G21" i="42"/>
  <c r="H16" i="42"/>
  <c r="H21" i="42" s="1"/>
  <c r="K15" i="49"/>
  <c r="L26" i="66"/>
  <c r="M21" i="66"/>
  <c r="AG23" i="65"/>
  <c r="T38" i="37"/>
  <c r="J14" i="69"/>
  <c r="J18" i="69" s="1"/>
  <c r="L14" i="69"/>
  <c r="T22" i="2"/>
  <c r="V13" i="2"/>
  <c r="BH20" i="63"/>
  <c r="J20" i="49"/>
  <c r="BM20" i="63"/>
  <c r="AV18" i="60"/>
  <c r="AT18" i="60"/>
  <c r="AI20" i="77"/>
  <c r="AE20" i="77"/>
  <c r="AB20" i="77"/>
  <c r="AA20" i="77"/>
  <c r="W20" i="70"/>
  <c r="T20" i="70"/>
  <c r="AL19" i="59"/>
  <c r="AM19" i="59"/>
  <c r="AP25" i="53"/>
  <c r="BS20" i="63"/>
  <c r="BT20" i="63"/>
  <c r="BD18" i="60"/>
  <c r="BA18" i="60"/>
  <c r="AY18" i="60"/>
  <c r="AU18" i="60"/>
  <c r="AL18" i="60"/>
  <c r="Z20" i="70"/>
  <c r="AO19" i="59"/>
  <c r="AQ19" i="59"/>
  <c r="AS19" i="59"/>
  <c r="AU19" i="59"/>
  <c r="AW19" i="59"/>
  <c r="W23" i="25"/>
  <c r="AI23" i="25"/>
  <c r="AK23" i="25"/>
  <c r="K27" i="34"/>
  <c r="BG18" i="60"/>
  <c r="BE18" i="60"/>
  <c r="AA20" i="70"/>
  <c r="R29" i="70"/>
  <c r="BB19" i="59"/>
  <c r="AI28" i="59"/>
  <c r="AJ23" i="59"/>
  <c r="Y20" i="70"/>
  <c r="BU20" i="63"/>
  <c r="BI18" i="60"/>
  <c r="AZ18" i="60"/>
  <c r="AX18" i="60"/>
  <c r="V20" i="70"/>
  <c r="AK19" i="59"/>
  <c r="AP19" i="59"/>
  <c r="AT19" i="59"/>
  <c r="AX19" i="59"/>
  <c r="BC19" i="59"/>
  <c r="P21" i="40"/>
  <c r="P25" i="40" s="1"/>
  <c r="AB34" i="27"/>
  <c r="Z34" i="27"/>
  <c r="BA31" i="61"/>
  <c r="J18" i="24"/>
  <c r="AW25" i="53"/>
  <c r="BA25" i="53"/>
  <c r="BE25" i="53"/>
  <c r="BI25" i="53"/>
  <c r="V15" i="10"/>
  <c r="AL27" i="16"/>
  <c r="AJ27" i="16"/>
  <c r="AI27" i="16"/>
  <c r="S29" i="30"/>
  <c r="P21" i="38"/>
  <c r="U21" i="40"/>
  <c r="S21" i="40"/>
  <c r="W34" i="27"/>
  <c r="U34" i="27"/>
  <c r="U38" i="27" s="1"/>
  <c r="AK31" i="61"/>
  <c r="AI31" i="61"/>
  <c r="AI35" i="61" s="1"/>
  <c r="R21" i="28"/>
  <c r="S21" i="28"/>
  <c r="AS25" i="53"/>
  <c r="AV25" i="53"/>
  <c r="AZ25" i="53"/>
  <c r="BD25" i="53"/>
  <c r="BH25" i="53"/>
  <c r="AY27" i="16"/>
  <c r="AW27" i="16"/>
  <c r="AV27" i="16"/>
  <c r="AQ27" i="16"/>
  <c r="AO27" i="16"/>
  <c r="AN27" i="16"/>
  <c r="AE27" i="16"/>
  <c r="AE31" i="16" s="1"/>
  <c r="T21" i="40"/>
  <c r="Q21" i="40"/>
  <c r="AA34" i="27"/>
  <c r="AU31" i="61"/>
  <c r="AO25" i="53"/>
  <c r="AR25" i="53"/>
  <c r="AR27" i="16"/>
  <c r="R21" i="40"/>
  <c r="BE31" i="61"/>
  <c r="AY31" i="61"/>
  <c r="BB31" i="61"/>
  <c r="AS31" i="61"/>
  <c r="W27" i="25"/>
  <c r="AK23" i="7"/>
  <c r="AI23" i="7"/>
  <c r="AG12" i="4"/>
  <c r="BG31" i="61"/>
  <c r="BC31" i="61"/>
  <c r="AM31" i="61"/>
  <c r="AJ31" i="61"/>
  <c r="V20" i="39"/>
  <c r="AD13" i="2"/>
  <c r="AQ17" i="58"/>
  <c r="BD31" i="61"/>
  <c r="AC20" i="70"/>
  <c r="AM31" i="64"/>
  <c r="AF13" i="2"/>
  <c r="AE23" i="7"/>
  <c r="AX14" i="52"/>
  <c r="AB12" i="4"/>
  <c r="N10" i="31"/>
  <c r="Y33" i="20"/>
  <c r="BK25" i="53"/>
  <c r="AN23" i="7"/>
  <c r="AM23" i="7"/>
  <c r="AL23" i="7"/>
  <c r="AJ23" i="7"/>
  <c r="AF23" i="7"/>
  <c r="P20" i="39"/>
  <c r="AC12" i="4"/>
  <c r="AO29" i="20"/>
  <c r="O20" i="39"/>
  <c r="O24" i="39" s="1"/>
  <c r="AH12" i="4"/>
  <c r="AF12" i="4"/>
  <c r="U12" i="4"/>
  <c r="U16" i="4" s="1"/>
  <c r="AE29" i="20"/>
  <c r="AT17" i="56"/>
  <c r="AD18" i="52" l="1"/>
  <c r="P38" i="14"/>
  <c r="Q38" i="14" s="1"/>
  <c r="W24" i="77"/>
  <c r="V29" i="77"/>
  <c r="L19" i="44"/>
  <c r="K24" i="44"/>
  <c r="L15" i="73"/>
  <c r="AK26" i="62"/>
  <c r="N22" i="51"/>
  <c r="AB21" i="56"/>
  <c r="AC21" i="56" s="1"/>
  <c r="L17" i="45"/>
  <c r="U17" i="2"/>
  <c r="U22" i="2" s="1"/>
  <c r="K18" i="72"/>
  <c r="L18" i="72" s="1"/>
  <c r="M25" i="38"/>
  <c r="N25" i="38" s="1"/>
  <c r="M25" i="29"/>
  <c r="N20" i="29"/>
  <c r="N25" i="29" s="1"/>
  <c r="M29" i="19"/>
  <c r="N24" i="19"/>
  <c r="P24" i="39"/>
  <c r="O29" i="39"/>
  <c r="L19" i="36"/>
  <c r="K24" i="36"/>
  <c r="V16" i="4"/>
  <c r="U21" i="4"/>
  <c r="AE36" i="16"/>
  <c r="AF31" i="16"/>
  <c r="Z27" i="7"/>
  <c r="Y32" i="7"/>
  <c r="Z33" i="20"/>
  <c r="Y38" i="20"/>
  <c r="O28" i="33"/>
  <c r="N33" i="33"/>
  <c r="AJ35" i="61"/>
  <c r="AI40" i="61"/>
  <c r="Q25" i="40"/>
  <c r="P30" i="40"/>
  <c r="AL22" i="60"/>
  <c r="AK27" i="60"/>
  <c r="AP24" i="63"/>
  <c r="AO29" i="63"/>
  <c r="N21" i="66"/>
  <c r="M26" i="66"/>
  <c r="M16" i="18"/>
  <c r="N11" i="18"/>
  <c r="L14" i="31"/>
  <c r="K19" i="31"/>
  <c r="K21" i="32"/>
  <c r="J26" i="32"/>
  <c r="P17" i="51"/>
  <c r="O22" i="51"/>
  <c r="N12" i="45"/>
  <c r="M17" i="45"/>
  <c r="AJ29" i="53"/>
  <c r="AI34" i="53"/>
  <c r="V38" i="27"/>
  <c r="U43" i="27"/>
  <c r="K18" i="24"/>
  <c r="J23" i="24"/>
  <c r="J23" i="69"/>
  <c r="K18" i="69"/>
  <c r="AA26" i="58"/>
  <c r="AB21" i="58"/>
  <c r="AW28" i="54"/>
  <c r="AX28" i="54" s="1"/>
  <c r="AV33" i="54"/>
  <c r="AE18" i="52"/>
  <c r="AD23" i="52"/>
  <c r="P29" i="13"/>
  <c r="O34" i="13"/>
  <c r="X27" i="25"/>
  <c r="W32" i="25"/>
  <c r="P42" i="37"/>
  <c r="O47" i="37"/>
  <c r="AK23" i="59"/>
  <c r="AJ28" i="59"/>
  <c r="S29" i="70"/>
  <c r="T24" i="70"/>
  <c r="M22" i="34"/>
  <c r="L27" i="34"/>
  <c r="AH23" i="65"/>
  <c r="AI18" i="65"/>
  <c r="L15" i="49"/>
  <c r="K20" i="49"/>
  <c r="X35" i="64"/>
  <c r="W40" i="64"/>
  <c r="T11" i="3"/>
  <c r="S16" i="3"/>
  <c r="O23" i="12"/>
  <c r="N28" i="12"/>
  <c r="P26" i="41"/>
  <c r="O31" i="41"/>
  <c r="J15" i="57"/>
  <c r="J20" i="57" s="1"/>
  <c r="I20" i="57"/>
  <c r="L20" i="73"/>
  <c r="M15" i="73"/>
  <c r="O25" i="28"/>
  <c r="N30" i="28"/>
  <c r="O33" i="30"/>
  <c r="N38" i="30"/>
  <c r="AM21" i="62"/>
  <c r="AL26" i="62"/>
  <c r="J22" i="72"/>
  <c r="J27" i="72" s="1"/>
  <c r="I27" i="72"/>
  <c r="O24" i="10"/>
  <c r="P19" i="10"/>
  <c r="M19" i="44"/>
  <c r="L24" i="44"/>
  <c r="K12" i="43"/>
  <c r="J17" i="43"/>
  <c r="K22" i="68"/>
  <c r="J27" i="68"/>
  <c r="V17" i="2" l="1"/>
  <c r="P43" i="14"/>
  <c r="AB26" i="56"/>
  <c r="O20" i="29"/>
  <c r="P20" i="29" s="1"/>
  <c r="M30" i="38"/>
  <c r="W29" i="77"/>
  <c r="X24" i="77"/>
  <c r="R38" i="14"/>
  <c r="Q43" i="14"/>
  <c r="AI23" i="65"/>
  <c r="AJ18" i="65"/>
  <c r="U24" i="70"/>
  <c r="T29" i="70"/>
  <c r="O25" i="29"/>
  <c r="AC21" i="58"/>
  <c r="AB26" i="58"/>
  <c r="AG31" i="16"/>
  <c r="AF36" i="16"/>
  <c r="P23" i="12"/>
  <c r="O28" i="12"/>
  <c r="Y35" i="64"/>
  <c r="X40" i="64"/>
  <c r="Y27" i="25"/>
  <c r="X32" i="25"/>
  <c r="AY28" i="54"/>
  <c r="AX33" i="54"/>
  <c r="L18" i="24"/>
  <c r="K23" i="24"/>
  <c r="AK29" i="53"/>
  <c r="AJ34" i="53"/>
  <c r="Q17" i="51"/>
  <c r="P22" i="51"/>
  <c r="M14" i="31"/>
  <c r="L19" i="31"/>
  <c r="O21" i="66"/>
  <c r="N26" i="66"/>
  <c r="AM22" i="60"/>
  <c r="AL27" i="60"/>
  <c r="AK35" i="61"/>
  <c r="AJ40" i="61"/>
  <c r="AA33" i="20"/>
  <c r="Z38" i="20"/>
  <c r="M19" i="36"/>
  <c r="L24" i="36"/>
  <c r="Q24" i="39"/>
  <c r="P29" i="39"/>
  <c r="M24" i="44"/>
  <c r="N19" i="44"/>
  <c r="N24" i="44" s="1"/>
  <c r="O25" i="38"/>
  <c r="N30" i="38"/>
  <c r="P25" i="28"/>
  <c r="O30" i="28"/>
  <c r="P24" i="10"/>
  <c r="Q19" i="10"/>
  <c r="M20" i="73"/>
  <c r="N15" i="73"/>
  <c r="N20" i="73" s="1"/>
  <c r="L18" i="69"/>
  <c r="L23" i="69" s="1"/>
  <c r="K23" i="69"/>
  <c r="O11" i="18"/>
  <c r="N16" i="18"/>
  <c r="O24" i="19"/>
  <c r="N29" i="19"/>
  <c r="K27" i="68"/>
  <c r="L22" i="68"/>
  <c r="L27" i="68" s="1"/>
  <c r="K17" i="43"/>
  <c r="L12" i="43"/>
  <c r="L17" i="43" s="1"/>
  <c r="AN21" i="62"/>
  <c r="AM26" i="62"/>
  <c r="P33" i="30"/>
  <c r="O38" i="30"/>
  <c r="Q26" i="41"/>
  <c r="P31" i="41"/>
  <c r="U11" i="3"/>
  <c r="T16" i="3"/>
  <c r="L20" i="49"/>
  <c r="M15" i="49"/>
  <c r="M27" i="34"/>
  <c r="N22" i="34"/>
  <c r="AL23" i="59"/>
  <c r="AK28" i="59"/>
  <c r="Q42" i="37"/>
  <c r="P47" i="37"/>
  <c r="Q29" i="13"/>
  <c r="P34" i="13"/>
  <c r="AE23" i="52"/>
  <c r="AF18" i="52"/>
  <c r="AD21" i="56"/>
  <c r="AC26" i="56"/>
  <c r="W38" i="27"/>
  <c r="V43" i="27"/>
  <c r="N17" i="45"/>
  <c r="O12" i="45"/>
  <c r="L21" i="32"/>
  <c r="K26" i="32"/>
  <c r="AQ24" i="63"/>
  <c r="AP29" i="63"/>
  <c r="R25" i="40"/>
  <c r="Q30" i="40"/>
  <c r="P28" i="33"/>
  <c r="O33" i="33"/>
  <c r="AA27" i="7"/>
  <c r="Z32" i="7"/>
  <c r="W16" i="4"/>
  <c r="V21" i="4"/>
  <c r="W17" i="2" l="1"/>
  <c r="V22" i="2"/>
  <c r="L23" i="24"/>
  <c r="M18" i="24"/>
  <c r="M23" i="24" s="1"/>
  <c r="Y24" i="77"/>
  <c r="X29" i="77"/>
  <c r="L26" i="32"/>
  <c r="M21" i="32"/>
  <c r="M26" i="32" s="1"/>
  <c r="P12" i="45"/>
  <c r="P17" i="45" s="1"/>
  <c r="O17" i="45"/>
  <c r="R19" i="10"/>
  <c r="Q24" i="10"/>
  <c r="Q20" i="29"/>
  <c r="P25" i="29"/>
  <c r="AE21" i="56"/>
  <c r="AD26" i="56"/>
  <c r="AN26" i="62"/>
  <c r="AO21" i="62"/>
  <c r="R24" i="39"/>
  <c r="Q29" i="39"/>
  <c r="AG36" i="16"/>
  <c r="AH31" i="16"/>
  <c r="V24" i="70"/>
  <c r="U29" i="70"/>
  <c r="M20" i="49"/>
  <c r="N15" i="49"/>
  <c r="N20" i="49" s="1"/>
  <c r="X16" i="4"/>
  <c r="W21" i="4"/>
  <c r="AR24" i="63"/>
  <c r="AQ29" i="63"/>
  <c r="Q34" i="13"/>
  <c r="R29" i="13"/>
  <c r="P11" i="18"/>
  <c r="O16" i="18"/>
  <c r="AB33" i="20"/>
  <c r="AA38" i="20"/>
  <c r="N14" i="31"/>
  <c r="M19" i="31"/>
  <c r="Z27" i="25"/>
  <c r="Y32" i="25"/>
  <c r="AJ23" i="65"/>
  <c r="AK18" i="65"/>
  <c r="Q28" i="33"/>
  <c r="P33" i="33"/>
  <c r="AL28" i="59"/>
  <c r="AM23" i="59"/>
  <c r="Q31" i="41"/>
  <c r="R26" i="41"/>
  <c r="P25" i="38"/>
  <c r="O30" i="38"/>
  <c r="AN22" i="60"/>
  <c r="AM27" i="60"/>
  <c r="Q23" i="12"/>
  <c r="P28" i="12"/>
  <c r="AF23" i="52"/>
  <c r="AG18" i="52"/>
  <c r="N27" i="34"/>
  <c r="O22" i="34"/>
  <c r="AB27" i="7"/>
  <c r="AA32" i="7"/>
  <c r="S25" i="40"/>
  <c r="R30" i="40"/>
  <c r="X38" i="27"/>
  <c r="W43" i="27"/>
  <c r="R42" i="37"/>
  <c r="Q47" i="37"/>
  <c r="U16" i="3"/>
  <c r="V11" i="3"/>
  <c r="Q33" i="30"/>
  <c r="P38" i="30"/>
  <c r="O29" i="19"/>
  <c r="P24" i="19"/>
  <c r="P30" i="28"/>
  <c r="Q25" i="28"/>
  <c r="N19" i="36"/>
  <c r="M24" i="36"/>
  <c r="AL35" i="61"/>
  <c r="AK40" i="61"/>
  <c r="O26" i="66"/>
  <c r="P21" i="66"/>
  <c r="Q22" i="51"/>
  <c r="R17" i="51"/>
  <c r="AL29" i="53"/>
  <c r="AK34" i="53"/>
  <c r="AZ28" i="54"/>
  <c r="AY33" i="54"/>
  <c r="Z35" i="64"/>
  <c r="Y40" i="64"/>
  <c r="AC26" i="58"/>
  <c r="AD21" i="58"/>
  <c r="S38" i="14"/>
  <c r="R43" i="14"/>
  <c r="X17" i="2" l="1"/>
  <c r="W22" i="2"/>
  <c r="N19" i="31"/>
  <c r="O14" i="31"/>
  <c r="O19" i="31" s="1"/>
  <c r="Y29" i="77"/>
  <c r="Z24" i="77"/>
  <c r="Q25" i="29"/>
  <c r="R20" i="29"/>
  <c r="R25" i="29" s="1"/>
  <c r="P30" i="38"/>
  <c r="Q25" i="38"/>
  <c r="Q30" i="38" s="1"/>
  <c r="N24" i="36"/>
  <c r="O19" i="36"/>
  <c r="O24" i="36" s="1"/>
  <c r="S43" i="14"/>
  <c r="T38" i="14"/>
  <c r="AD26" i="58"/>
  <c r="AE21" i="58"/>
  <c r="Q21" i="66"/>
  <c r="P26" i="66"/>
  <c r="AA35" i="64"/>
  <c r="Z40" i="64"/>
  <c r="R22" i="51"/>
  <c r="S17" i="51"/>
  <c r="R25" i="28"/>
  <c r="Q30" i="28"/>
  <c r="P29" i="19"/>
  <c r="Q24" i="19"/>
  <c r="W11" i="3"/>
  <c r="V16" i="3"/>
  <c r="O27" i="34"/>
  <c r="P22" i="34"/>
  <c r="P27" i="34" s="1"/>
  <c r="AM28" i="59"/>
  <c r="AN23" i="59"/>
  <c r="AK23" i="65"/>
  <c r="AL18" i="65"/>
  <c r="R34" i="13"/>
  <c r="S29" i="13"/>
  <c r="AI31" i="16"/>
  <c r="AH36" i="16"/>
  <c r="AP21" i="62"/>
  <c r="AO26" i="62"/>
  <c r="BA28" i="54"/>
  <c r="AZ33" i="54"/>
  <c r="AM35" i="61"/>
  <c r="AL40" i="61"/>
  <c r="Y38" i="27"/>
  <c r="X43" i="27"/>
  <c r="AC27" i="7"/>
  <c r="AB32" i="7"/>
  <c r="R23" i="12"/>
  <c r="Q28" i="12"/>
  <c r="AA27" i="25"/>
  <c r="Z32" i="25"/>
  <c r="AC33" i="20"/>
  <c r="AB38" i="20"/>
  <c r="Y16" i="4"/>
  <c r="X21" i="4"/>
  <c r="R24" i="10"/>
  <c r="S19" i="10"/>
  <c r="AG23" i="52"/>
  <c r="AH18" i="52"/>
  <c r="S26" i="41"/>
  <c r="R31" i="41"/>
  <c r="AM29" i="53"/>
  <c r="AL34" i="53"/>
  <c r="R33" i="30"/>
  <c r="Q38" i="30"/>
  <c r="S42" i="37"/>
  <c r="R47" i="37"/>
  <c r="T25" i="40"/>
  <c r="S30" i="40"/>
  <c r="AO22" i="60"/>
  <c r="AN27" i="60"/>
  <c r="R28" i="33"/>
  <c r="Q33" i="33"/>
  <c r="P16" i="18"/>
  <c r="Q11" i="18"/>
  <c r="AS24" i="63"/>
  <c r="AR29" i="63"/>
  <c r="W24" i="70"/>
  <c r="V29" i="70"/>
  <c r="S24" i="39"/>
  <c r="R29" i="39"/>
  <c r="AF21" i="56"/>
  <c r="AE26" i="56"/>
  <c r="Y17" i="2" l="1"/>
  <c r="X22" i="2"/>
  <c r="Z29" i="77"/>
  <c r="AA24" i="77"/>
  <c r="R11" i="18"/>
  <c r="Q16" i="18"/>
  <c r="AI18" i="52"/>
  <c r="AH23" i="52"/>
  <c r="S24" i="10"/>
  <c r="T19" i="10"/>
  <c r="T29" i="13"/>
  <c r="S34" i="13"/>
  <c r="AO23" i="59"/>
  <c r="AN28" i="59"/>
  <c r="AE26" i="58"/>
  <c r="AF21" i="58"/>
  <c r="AG21" i="56"/>
  <c r="AF26" i="56"/>
  <c r="X24" i="70"/>
  <c r="W29" i="70"/>
  <c r="AP22" i="60"/>
  <c r="AO27" i="60"/>
  <c r="U25" i="40"/>
  <c r="T30" i="40"/>
  <c r="S33" i="30"/>
  <c r="R38" i="30"/>
  <c r="Z16" i="4"/>
  <c r="Y21" i="4"/>
  <c r="AB27" i="25"/>
  <c r="AA32" i="25"/>
  <c r="AD27" i="7"/>
  <c r="AC32" i="7"/>
  <c r="AN35" i="61"/>
  <c r="AM40" i="61"/>
  <c r="AQ21" i="62"/>
  <c r="AP26" i="62"/>
  <c r="X11" i="3"/>
  <c r="W16" i="3"/>
  <c r="S25" i="28"/>
  <c r="R30" i="28"/>
  <c r="AB35" i="64"/>
  <c r="AA40" i="64"/>
  <c r="AL23" i="65"/>
  <c r="AM18" i="65"/>
  <c r="R24" i="19"/>
  <c r="Q29" i="19"/>
  <c r="S22" i="51"/>
  <c r="T17" i="51"/>
  <c r="T22" i="51" s="1"/>
  <c r="T43" i="14"/>
  <c r="U38" i="14"/>
  <c r="T24" i="39"/>
  <c r="S29" i="39"/>
  <c r="AT24" i="63"/>
  <c r="AS29" i="63"/>
  <c r="S28" i="33"/>
  <c r="R33" i="33"/>
  <c r="T42" i="37"/>
  <c r="S47" i="37"/>
  <c r="AN29" i="53"/>
  <c r="AM34" i="53"/>
  <c r="T26" i="41"/>
  <c r="S31" i="41"/>
  <c r="AD33" i="20"/>
  <c r="AC38" i="20"/>
  <c r="S23" i="12"/>
  <c r="R28" i="12"/>
  <c r="Z38" i="27"/>
  <c r="Y43" i="27"/>
  <c r="BB28" i="54"/>
  <c r="BA33" i="54"/>
  <c r="AJ31" i="16"/>
  <c r="AI36" i="16"/>
  <c r="Q26" i="66"/>
  <c r="R21" i="66"/>
  <c r="Y22" i="2" l="1"/>
  <c r="Z17" i="2"/>
  <c r="U43" i="14"/>
  <c r="V38" i="14"/>
  <c r="V43" i="14" s="1"/>
  <c r="T31" i="41"/>
  <c r="U26" i="41"/>
  <c r="AB24" i="77"/>
  <c r="AA29" i="77"/>
  <c r="S38" i="30"/>
  <c r="T33" i="30"/>
  <c r="T38" i="30" s="1"/>
  <c r="T34" i="13"/>
  <c r="U29" i="13"/>
  <c r="U34" i="13" s="1"/>
  <c r="AM23" i="65"/>
  <c r="AN18" i="65"/>
  <c r="AG21" i="58"/>
  <c r="AF26" i="58"/>
  <c r="AK31" i="16"/>
  <c r="AJ36" i="16"/>
  <c r="AA38" i="27"/>
  <c r="Z43" i="27"/>
  <c r="AE33" i="20"/>
  <c r="AD38" i="20"/>
  <c r="U42" i="37"/>
  <c r="T47" i="37"/>
  <c r="T28" i="33"/>
  <c r="T33" i="33" s="1"/>
  <c r="S33" i="33"/>
  <c r="U24" i="39"/>
  <c r="T29" i="39"/>
  <c r="T25" i="28"/>
  <c r="T30" i="28" s="1"/>
  <c r="S30" i="28"/>
  <c r="AQ26" i="62"/>
  <c r="AR21" i="62"/>
  <c r="AE27" i="7"/>
  <c r="AD32" i="7"/>
  <c r="AA16" i="4"/>
  <c r="Z21" i="4"/>
  <c r="V25" i="40"/>
  <c r="U30" i="40"/>
  <c r="X29" i="70"/>
  <c r="Y24" i="70"/>
  <c r="AJ18" i="52"/>
  <c r="AI23" i="52"/>
  <c r="R26" i="66"/>
  <c r="S21" i="66"/>
  <c r="S26" i="66" s="1"/>
  <c r="U19" i="10"/>
  <c r="T24" i="10"/>
  <c r="BB33" i="54"/>
  <c r="BC28" i="54"/>
  <c r="T23" i="12"/>
  <c r="S28" i="12"/>
  <c r="AO29" i="53"/>
  <c r="AN34" i="53"/>
  <c r="AU24" i="63"/>
  <c r="AT29" i="63"/>
  <c r="S24" i="19"/>
  <c r="S29" i="19" s="1"/>
  <c r="R29" i="19"/>
  <c r="AC35" i="64"/>
  <c r="AB40" i="64"/>
  <c r="X16" i="3"/>
  <c r="Y11" i="3"/>
  <c r="AO35" i="61"/>
  <c r="AN40" i="61"/>
  <c r="AC27" i="25"/>
  <c r="AB32" i="25"/>
  <c r="AQ22" i="60"/>
  <c r="AP27" i="60"/>
  <c r="AH21" i="56"/>
  <c r="AG26" i="56"/>
  <c r="AP23" i="59"/>
  <c r="AO28" i="59"/>
  <c r="S11" i="18"/>
  <c r="R16" i="18"/>
  <c r="AA17" i="2" l="1"/>
  <c r="Z22" i="2"/>
  <c r="U31" i="41"/>
  <c r="V26" i="41"/>
  <c r="V31" i="41" s="1"/>
  <c r="T28" i="12"/>
  <c r="U23" i="12"/>
  <c r="U28" i="12" s="1"/>
  <c r="AB29" i="77"/>
  <c r="AC24" i="77"/>
  <c r="S16" i="18"/>
  <c r="T11" i="18"/>
  <c r="T16" i="18" s="1"/>
  <c r="AH26" i="56"/>
  <c r="AI21" i="56"/>
  <c r="Z24" i="70"/>
  <c r="Y29" i="70"/>
  <c r="AJ23" i="52"/>
  <c r="AK18" i="52"/>
  <c r="AP28" i="59"/>
  <c r="AQ23" i="59"/>
  <c r="AR22" i="60"/>
  <c r="AQ27" i="60"/>
  <c r="AP35" i="61"/>
  <c r="AO40" i="61"/>
  <c r="AD35" i="64"/>
  <c r="AC40" i="64"/>
  <c r="AV24" i="63"/>
  <c r="AU29" i="63"/>
  <c r="AP29" i="53"/>
  <c r="AO34" i="53"/>
  <c r="V19" i="10"/>
  <c r="U24" i="10"/>
  <c r="AB16" i="4"/>
  <c r="AA21" i="4"/>
  <c r="V24" i="39"/>
  <c r="U29" i="39"/>
  <c r="V42" i="37"/>
  <c r="U47" i="37"/>
  <c r="AB38" i="27"/>
  <c r="AA43" i="27"/>
  <c r="AG26" i="58"/>
  <c r="AH21" i="58"/>
  <c r="AD27" i="25"/>
  <c r="AC32" i="25"/>
  <c r="W25" i="40"/>
  <c r="V30" i="40"/>
  <c r="AR26" i="62"/>
  <c r="AS21" i="62"/>
  <c r="Y16" i="3"/>
  <c r="Z11" i="3"/>
  <c r="BC33" i="54"/>
  <c r="BD28" i="54"/>
  <c r="AN23" i="65"/>
  <c r="AO18" i="65"/>
  <c r="AF27" i="7"/>
  <c r="AE32" i="7"/>
  <c r="AF33" i="20"/>
  <c r="AE38" i="20"/>
  <c r="AL31" i="16"/>
  <c r="AK36" i="16"/>
  <c r="AB17" i="2" l="1"/>
  <c r="AA22" i="2"/>
  <c r="W42" i="37"/>
  <c r="V24" i="10"/>
  <c r="W19" i="10"/>
  <c r="W24" i="10" s="1"/>
  <c r="AD24" i="77"/>
  <c r="AC29" i="77"/>
  <c r="V29" i="39"/>
  <c r="W24" i="39"/>
  <c r="W29" i="39" s="1"/>
  <c r="AB43" i="27"/>
  <c r="AC38" i="27"/>
  <c r="W30" i="40"/>
  <c r="X25" i="40"/>
  <c r="AL36" i="16"/>
  <c r="AM31" i="16"/>
  <c r="Z16" i="3"/>
  <c r="AA11" i="3"/>
  <c r="AQ28" i="59"/>
  <c r="AR23" i="59"/>
  <c r="AE27" i="25"/>
  <c r="AD32" i="25"/>
  <c r="AW24" i="63"/>
  <c r="AV29" i="63"/>
  <c r="AQ35" i="61"/>
  <c r="AP40" i="61"/>
  <c r="AP18" i="65"/>
  <c r="AO23" i="65"/>
  <c r="BD33" i="54"/>
  <c r="BE28" i="54"/>
  <c r="AT21" i="62"/>
  <c r="AS26" i="62"/>
  <c r="AH26" i="58"/>
  <c r="AI21" i="58"/>
  <c r="AL18" i="52"/>
  <c r="AK23" i="52"/>
  <c r="AI26" i="56"/>
  <c r="AJ21" i="56"/>
  <c r="AG27" i="7"/>
  <c r="AF32" i="7"/>
  <c r="AG33" i="20"/>
  <c r="AF38" i="20"/>
  <c r="AC16" i="4"/>
  <c r="AB21" i="4"/>
  <c r="AQ29" i="53"/>
  <c r="AP34" i="53"/>
  <c r="AE35" i="64"/>
  <c r="AD40" i="64"/>
  <c r="AS22" i="60"/>
  <c r="AR27" i="60"/>
  <c r="AA24" i="70"/>
  <c r="Z29" i="70"/>
  <c r="X30" i="40" l="1"/>
  <c r="Y25" i="40"/>
  <c r="Y30" i="40" s="1"/>
  <c r="AC17" i="2"/>
  <c r="AB22" i="2"/>
  <c r="AE24" i="77"/>
  <c r="AD29" i="77"/>
  <c r="AD38" i="27"/>
  <c r="AC43" i="27"/>
  <c r="AR28" i="59"/>
  <c r="AS23" i="59"/>
  <c r="AT22" i="60"/>
  <c r="AS27" i="60"/>
  <c r="AR29" i="53"/>
  <c r="AQ34" i="53"/>
  <c r="AH27" i="7"/>
  <c r="AG32" i="7"/>
  <c r="AM18" i="52"/>
  <c r="AL23" i="52"/>
  <c r="AU21" i="62"/>
  <c r="AT26" i="62"/>
  <c r="AQ18" i="65"/>
  <c r="AP23" i="65"/>
  <c r="AR35" i="61"/>
  <c r="AQ40" i="61"/>
  <c r="AF27" i="25"/>
  <c r="AE32" i="25"/>
  <c r="AJ26" i="56"/>
  <c r="AK21" i="56"/>
  <c r="AN31" i="16"/>
  <c r="AM36" i="16"/>
  <c r="AI26" i="58"/>
  <c r="AJ21" i="58"/>
  <c r="BE33" i="54"/>
  <c r="BF28" i="54"/>
  <c r="AA16" i="3"/>
  <c r="AB11" i="3"/>
  <c r="AB24" i="70"/>
  <c r="AA29" i="70"/>
  <c r="AF35" i="64"/>
  <c r="AE40" i="64"/>
  <c r="AD16" i="4"/>
  <c r="AC21" i="4"/>
  <c r="AH33" i="20"/>
  <c r="AG38" i="20"/>
  <c r="AX24" i="63"/>
  <c r="AW29" i="63"/>
  <c r="AD17" i="2" l="1"/>
  <c r="AC22" i="2"/>
  <c r="AE29" i="77"/>
  <c r="AF24" i="77"/>
  <c r="AE38" i="27"/>
  <c r="AD43" i="27"/>
  <c r="AK21" i="58"/>
  <c r="AJ26" i="58"/>
  <c r="AL21" i="56"/>
  <c r="AK26" i="56"/>
  <c r="AE16" i="4"/>
  <c r="AD21" i="4"/>
  <c r="AS35" i="61"/>
  <c r="AR40" i="61"/>
  <c r="AU26" i="62"/>
  <c r="AV21" i="62"/>
  <c r="AI27" i="7"/>
  <c r="AH32" i="7"/>
  <c r="AS29" i="53"/>
  <c r="AR34" i="53"/>
  <c r="AB16" i="3"/>
  <c r="AC11" i="3"/>
  <c r="BG28" i="54"/>
  <c r="BF33" i="54"/>
  <c r="AT23" i="59"/>
  <c r="AS28" i="59"/>
  <c r="AC24" i="70"/>
  <c r="AB29" i="70"/>
  <c r="AY24" i="63"/>
  <c r="AX29" i="63"/>
  <c r="AI33" i="20"/>
  <c r="AH38" i="20"/>
  <c r="AG35" i="64"/>
  <c r="AF40" i="64"/>
  <c r="AO31" i="16"/>
  <c r="AN36" i="16"/>
  <c r="AG27" i="25"/>
  <c r="AF32" i="25"/>
  <c r="AR18" i="65"/>
  <c r="AQ23" i="65"/>
  <c r="AN18" i="52"/>
  <c r="AM23" i="52"/>
  <c r="AU22" i="60"/>
  <c r="AT27" i="60"/>
  <c r="AC29" i="70" l="1"/>
  <c r="AD24" i="70"/>
  <c r="AE17" i="2"/>
  <c r="AD22" i="2"/>
  <c r="AE43" i="27"/>
  <c r="AF38" i="27"/>
  <c r="AG24" i="77"/>
  <c r="AF29" i="77"/>
  <c r="AS18" i="65"/>
  <c r="AR23" i="65"/>
  <c r="AO36" i="16"/>
  <c r="AP31" i="16"/>
  <c r="AJ33" i="20"/>
  <c r="AI38" i="20"/>
  <c r="BG33" i="54"/>
  <c r="BH28" i="54"/>
  <c r="AJ27" i="7"/>
  <c r="AI32" i="7"/>
  <c r="AT35" i="61"/>
  <c r="AS40" i="61"/>
  <c r="AK26" i="58"/>
  <c r="AL21" i="58"/>
  <c r="AD11" i="3"/>
  <c r="AD16" i="3" s="1"/>
  <c r="AC16" i="3"/>
  <c r="AV26" i="62"/>
  <c r="AW21" i="62"/>
  <c r="AV22" i="60"/>
  <c r="AU27" i="60"/>
  <c r="AN23" i="52"/>
  <c r="AO18" i="52"/>
  <c r="AH27" i="25"/>
  <c r="AG32" i="25"/>
  <c r="AG40" i="64"/>
  <c r="AH35" i="64"/>
  <c r="AZ24" i="63"/>
  <c r="AY29" i="63"/>
  <c r="AT28" i="59"/>
  <c r="AU23" i="59"/>
  <c r="AT29" i="53"/>
  <c r="AS34" i="53"/>
  <c r="AF16" i="4"/>
  <c r="AE21" i="4"/>
  <c r="AL26" i="56"/>
  <c r="AM21" i="56"/>
  <c r="AD29" i="70" l="1"/>
  <c r="AE24" i="70"/>
  <c r="AE29" i="70" s="1"/>
  <c r="AF17" i="2"/>
  <c r="AF22" i="2" s="1"/>
  <c r="AE22" i="2"/>
  <c r="AG38" i="27"/>
  <c r="AF43" i="27"/>
  <c r="AG29" i="77"/>
  <c r="AH24" i="77"/>
  <c r="AU28" i="59"/>
  <c r="AV23" i="59"/>
  <c r="AO23" i="52"/>
  <c r="AP18" i="52"/>
  <c r="BH33" i="54"/>
  <c r="BI28" i="54"/>
  <c r="AQ31" i="16"/>
  <c r="AP36" i="16"/>
  <c r="AU35" i="61"/>
  <c r="AT40" i="61"/>
  <c r="AI35" i="64"/>
  <c r="AH40" i="64"/>
  <c r="AM26" i="56"/>
  <c r="AN21" i="56"/>
  <c r="AX21" i="62"/>
  <c r="AW26" i="62"/>
  <c r="AM21" i="58"/>
  <c r="AL26" i="58"/>
  <c r="AG16" i="4"/>
  <c r="AF21" i="4"/>
  <c r="AU29" i="53"/>
  <c r="AT34" i="53"/>
  <c r="BA24" i="63"/>
  <c r="AZ29" i="63"/>
  <c r="AI27" i="25"/>
  <c r="AH32" i="25"/>
  <c r="AW22" i="60"/>
  <c r="AV27" i="60"/>
  <c r="AK27" i="7"/>
  <c r="AJ32" i="7"/>
  <c r="AK33" i="20"/>
  <c r="AJ38" i="20"/>
  <c r="AT18" i="65"/>
  <c r="AS23" i="65"/>
  <c r="AG43" i="27" l="1"/>
  <c r="AH38" i="27"/>
  <c r="AH43" i="27" s="1"/>
  <c r="AI24" i="77"/>
  <c r="AH29" i="77"/>
  <c r="AL33" i="20"/>
  <c r="AK38" i="20"/>
  <c r="AN26" i="56"/>
  <c r="AO21" i="56"/>
  <c r="AQ18" i="52"/>
  <c r="AP23" i="52"/>
  <c r="AL27" i="7"/>
  <c r="AK32" i="7"/>
  <c r="AJ27" i="25"/>
  <c r="AI32" i="25"/>
  <c r="AV29" i="53"/>
  <c r="AU34" i="53"/>
  <c r="AM26" i="58"/>
  <c r="AN21" i="58"/>
  <c r="AV35" i="61"/>
  <c r="AU40" i="61"/>
  <c r="AR31" i="16"/>
  <c r="AQ36" i="16"/>
  <c r="BJ28" i="54"/>
  <c r="BI33" i="54"/>
  <c r="AW23" i="59"/>
  <c r="AV28" i="59"/>
  <c r="AU18" i="65"/>
  <c r="AT23" i="65"/>
  <c r="AX22" i="60"/>
  <c r="AW27" i="60"/>
  <c r="BB24" i="63"/>
  <c r="BA29" i="63"/>
  <c r="AH16" i="4"/>
  <c r="AG21" i="4"/>
  <c r="AY21" i="62"/>
  <c r="AX26" i="62"/>
  <c r="AI40" i="64"/>
  <c r="AJ35" i="64"/>
  <c r="AH21" i="4" l="1"/>
  <c r="AI16" i="4"/>
  <c r="AI29" i="77"/>
  <c r="AJ24" i="77"/>
  <c r="AJ29" i="77" s="1"/>
  <c r="AO26" i="56"/>
  <c r="AP21" i="56"/>
  <c r="BC24" i="63"/>
  <c r="BB29" i="63"/>
  <c r="AW35" i="61"/>
  <c r="AV40" i="61"/>
  <c r="AW29" i="53"/>
  <c r="AV34" i="53"/>
  <c r="AM27" i="7"/>
  <c r="AL32" i="7"/>
  <c r="BJ33" i="54"/>
  <c r="BK28" i="54"/>
  <c r="AK35" i="64"/>
  <c r="AJ40" i="64"/>
  <c r="AN26" i="58"/>
  <c r="AO21" i="58"/>
  <c r="AZ21" i="62"/>
  <c r="AY26" i="62"/>
  <c r="AV18" i="65"/>
  <c r="AU23" i="65"/>
  <c r="AY22" i="60"/>
  <c r="AX27" i="60"/>
  <c r="AX23" i="59"/>
  <c r="AW28" i="59"/>
  <c r="AS31" i="16"/>
  <c r="AR36" i="16"/>
  <c r="AK27" i="25"/>
  <c r="AJ32" i="25"/>
  <c r="AR18" i="52"/>
  <c r="AQ23" i="52"/>
  <c r="AM33" i="20"/>
  <c r="AL38" i="20"/>
  <c r="AI21" i="4" l="1"/>
  <c r="AJ16" i="4"/>
  <c r="AJ21" i="4" s="1"/>
  <c r="AP21" i="58"/>
  <c r="AO26" i="58"/>
  <c r="BK33" i="54"/>
  <c r="BL28" i="54"/>
  <c r="AW18" i="65"/>
  <c r="AV23" i="65"/>
  <c r="AX29" i="53"/>
  <c r="AW34" i="53"/>
  <c r="BC29" i="63"/>
  <c r="BD24" i="63"/>
  <c r="AN33" i="20"/>
  <c r="AM38" i="20"/>
  <c r="AX28" i="59"/>
  <c r="AY23" i="59"/>
  <c r="AQ21" i="56"/>
  <c r="AP26" i="56"/>
  <c r="AL27" i="25"/>
  <c r="AL32" i="25" s="1"/>
  <c r="AK32" i="25"/>
  <c r="AR23" i="52"/>
  <c r="AS18" i="52"/>
  <c r="AT31" i="16"/>
  <c r="AS36" i="16"/>
  <c r="AZ22" i="60"/>
  <c r="AY27" i="60"/>
  <c r="AZ26" i="62"/>
  <c r="BA21" i="62"/>
  <c r="AL35" i="64"/>
  <c r="AK40" i="64"/>
  <c r="AN27" i="7"/>
  <c r="AM32" i="7"/>
  <c r="AX35" i="61"/>
  <c r="AW40" i="61"/>
  <c r="BL33" i="54" l="1"/>
  <c r="BM28" i="54"/>
  <c r="AY35" i="61"/>
  <c r="AX40" i="61"/>
  <c r="BA22" i="60"/>
  <c r="AZ27" i="60"/>
  <c r="AR21" i="56"/>
  <c r="AQ26" i="56"/>
  <c r="AY29" i="53"/>
  <c r="AX34" i="53"/>
  <c r="BB21" i="62"/>
  <c r="BA26" i="62"/>
  <c r="AY28" i="59"/>
  <c r="AZ23" i="59"/>
  <c r="BD29" i="63"/>
  <c r="BE24" i="63"/>
  <c r="AT18" i="52"/>
  <c r="AS23" i="52"/>
  <c r="AM35" i="64"/>
  <c r="AM40" i="64" s="1"/>
  <c r="AL40" i="64"/>
  <c r="AO33" i="20"/>
  <c r="AO38" i="20" s="1"/>
  <c r="AN38" i="20"/>
  <c r="AO27" i="7"/>
  <c r="AO32" i="7" s="1"/>
  <c r="AN32" i="7"/>
  <c r="AT36" i="16"/>
  <c r="AU31" i="16"/>
  <c r="AX18" i="65"/>
  <c r="AW23" i="65"/>
  <c r="AQ21" i="58"/>
  <c r="AP26" i="58"/>
  <c r="AQ26" i="58" l="1"/>
  <c r="AR21" i="58"/>
  <c r="AR26" i="58" s="1"/>
  <c r="BE29" i="63"/>
  <c r="BF24" i="63"/>
  <c r="AY18" i="65"/>
  <c r="AX23" i="65"/>
  <c r="BC21" i="62"/>
  <c r="BB26" i="62"/>
  <c r="AR26" i="56"/>
  <c r="AS21" i="56"/>
  <c r="AZ35" i="61"/>
  <c r="AY40" i="61"/>
  <c r="AV31" i="16"/>
  <c r="AU36" i="16"/>
  <c r="BA23" i="59"/>
  <c r="AZ28" i="59"/>
  <c r="BM33" i="54"/>
  <c r="BN28" i="54"/>
  <c r="AU18" i="52"/>
  <c r="AT23" i="52"/>
  <c r="AZ29" i="53"/>
  <c r="AY34" i="53"/>
  <c r="BB22" i="60"/>
  <c r="BA27" i="60"/>
  <c r="AZ18" i="65" l="1"/>
  <c r="AY23" i="65"/>
  <c r="BF29" i="63"/>
  <c r="BG24" i="63"/>
  <c r="BN33" i="54"/>
  <c r="BO28" i="54"/>
  <c r="AT21" i="56"/>
  <c r="AT26" i="56" s="1"/>
  <c r="AS26" i="56"/>
  <c r="BA29" i="53"/>
  <c r="AZ34" i="53"/>
  <c r="AW31" i="16"/>
  <c r="AV36" i="16"/>
  <c r="BC22" i="60"/>
  <c r="BB27" i="60"/>
  <c r="AV18" i="52"/>
  <c r="AU23" i="52"/>
  <c r="BB23" i="59"/>
  <c r="BA28" i="59"/>
  <c r="BA35" i="61"/>
  <c r="AZ40" i="61"/>
  <c r="BD21" i="62"/>
  <c r="BC26" i="62"/>
  <c r="AX31" i="16" l="1"/>
  <c r="AW36" i="16"/>
  <c r="BG29" i="63"/>
  <c r="BH24" i="63"/>
  <c r="BB35" i="61"/>
  <c r="BA40" i="61"/>
  <c r="BP28" i="54"/>
  <c r="BO33" i="54"/>
  <c r="AW18" i="52"/>
  <c r="AV23" i="52"/>
  <c r="BD26" i="62"/>
  <c r="BE21" i="62"/>
  <c r="BB28" i="59"/>
  <c r="BC23" i="59"/>
  <c r="BD22" i="60"/>
  <c r="BC27" i="60"/>
  <c r="BB29" i="53"/>
  <c r="BA34" i="53"/>
  <c r="BA18" i="65"/>
  <c r="AZ23" i="65"/>
  <c r="BH29" i="63" l="1"/>
  <c r="BI24" i="63"/>
  <c r="BF21" i="62"/>
  <c r="BE26" i="62"/>
  <c r="BB18" i="65"/>
  <c r="BA23" i="65"/>
  <c r="BE22" i="60"/>
  <c r="BD27" i="60"/>
  <c r="BP33" i="54"/>
  <c r="BQ28" i="54"/>
  <c r="BC28" i="59"/>
  <c r="BD23" i="59"/>
  <c r="BC29" i="53"/>
  <c r="BB34" i="53"/>
  <c r="AX18" i="52"/>
  <c r="AX23" i="52" s="1"/>
  <c r="AW23" i="52"/>
  <c r="BC35" i="61"/>
  <c r="BB40" i="61"/>
  <c r="AY31" i="16"/>
  <c r="AX36" i="16"/>
  <c r="BF22" i="60" l="1"/>
  <c r="BE27" i="60"/>
  <c r="BG21" i="62"/>
  <c r="BF26" i="62"/>
  <c r="BD29" i="53"/>
  <c r="BC34" i="53"/>
  <c r="BE23" i="59"/>
  <c r="BD28" i="59"/>
  <c r="AY36" i="16"/>
  <c r="AZ31" i="16"/>
  <c r="BQ33" i="54"/>
  <c r="BR28" i="54"/>
  <c r="BJ24" i="63"/>
  <c r="BI29" i="63"/>
  <c r="BD35" i="61"/>
  <c r="BC40" i="61"/>
  <c r="BC18" i="65"/>
  <c r="BB23" i="65"/>
  <c r="BH21" i="62" l="1"/>
  <c r="BG26" i="62"/>
  <c r="BR33" i="54"/>
  <c r="BS28" i="54"/>
  <c r="BE35" i="61"/>
  <c r="BD40" i="61"/>
  <c r="BF23" i="59"/>
  <c r="BE28" i="59"/>
  <c r="BA31" i="16"/>
  <c r="AZ36" i="16"/>
  <c r="BD18" i="65"/>
  <c r="BC23" i="65"/>
  <c r="BK24" i="63"/>
  <c r="BJ29" i="63"/>
  <c r="BD34" i="53"/>
  <c r="BE29" i="53"/>
  <c r="BG22" i="60"/>
  <c r="BF27" i="60"/>
  <c r="BA36" i="16" l="1"/>
  <c r="BB31" i="16"/>
  <c r="BB36" i="16" s="1"/>
  <c r="BH22" i="60"/>
  <c r="BG27" i="60"/>
  <c r="BE34" i="53"/>
  <c r="BF29" i="53"/>
  <c r="BS33" i="54"/>
  <c r="BT28" i="54"/>
  <c r="BD23" i="65"/>
  <c r="BE18" i="65"/>
  <c r="BG23" i="59"/>
  <c r="BF28" i="59"/>
  <c r="BK29" i="63"/>
  <c r="BL24" i="63"/>
  <c r="BF35" i="61"/>
  <c r="BE40" i="61"/>
  <c r="BH26" i="62"/>
  <c r="BI21" i="62"/>
  <c r="BF34" i="53" l="1"/>
  <c r="BG29" i="53"/>
  <c r="BM24" i="63"/>
  <c r="BL29" i="63"/>
  <c r="BJ21" i="62"/>
  <c r="BI26" i="62"/>
  <c r="BF18" i="65"/>
  <c r="BE23" i="65"/>
  <c r="BT33" i="54"/>
  <c r="BU28" i="54"/>
  <c r="BG35" i="61"/>
  <c r="BF40" i="61"/>
  <c r="BH23" i="59"/>
  <c r="BG28" i="59"/>
  <c r="BI22" i="60"/>
  <c r="BH27" i="60"/>
  <c r="BG18" i="65" l="1"/>
  <c r="BF23" i="65"/>
  <c r="BI27" i="60"/>
  <c r="BJ22" i="60"/>
  <c r="BH35" i="61"/>
  <c r="BG40" i="61"/>
  <c r="BM29" i="63"/>
  <c r="BN24" i="63"/>
  <c r="BU33" i="54"/>
  <c r="BV28" i="54"/>
  <c r="BG34" i="53"/>
  <c r="BH29" i="53"/>
  <c r="BI23" i="59"/>
  <c r="BH28" i="59"/>
  <c r="BJ26" i="62"/>
  <c r="BK21" i="62"/>
  <c r="BK26" i="62" l="1"/>
  <c r="BL21" i="62"/>
  <c r="BO24" i="63"/>
  <c r="BN29" i="63"/>
  <c r="BK22" i="60"/>
  <c r="BJ27" i="60"/>
  <c r="BH34" i="53"/>
  <c r="BI29" i="53"/>
  <c r="BW28" i="54"/>
  <c r="BV33" i="54"/>
  <c r="BJ23" i="59"/>
  <c r="BI28" i="59"/>
  <c r="BI35" i="61"/>
  <c r="BH40" i="61"/>
  <c r="BH18" i="65"/>
  <c r="BH23" i="65" s="1"/>
  <c r="BG23" i="65"/>
  <c r="BI40" i="61" l="1"/>
  <c r="BJ35" i="61"/>
  <c r="BJ40" i="61" s="1"/>
  <c r="BO29" i="63"/>
  <c r="BP24" i="63"/>
  <c r="BM21" i="62"/>
  <c r="BL26" i="62"/>
  <c r="BJ29" i="53"/>
  <c r="BI34" i="53"/>
  <c r="BK23" i="59"/>
  <c r="BJ28" i="59"/>
  <c r="BW33" i="54"/>
  <c r="BX28" i="54"/>
  <c r="BL22" i="60"/>
  <c r="BK27" i="60"/>
  <c r="BK28" i="59" l="1"/>
  <c r="BL23" i="59"/>
  <c r="BL28" i="59" s="1"/>
  <c r="BN21" i="62"/>
  <c r="BN26" i="62" s="1"/>
  <c r="BM26" i="62"/>
  <c r="BX33" i="54"/>
  <c r="BY28" i="54"/>
  <c r="BP29" i="63"/>
  <c r="BQ24" i="63"/>
  <c r="BL27" i="60"/>
  <c r="BM22" i="60"/>
  <c r="BK29" i="53"/>
  <c r="BK34" i="53" s="1"/>
  <c r="BJ34" i="53"/>
  <c r="BN22" i="60" l="1"/>
  <c r="BM27" i="60"/>
  <c r="BY33" i="54"/>
  <c r="BZ28" i="54"/>
  <c r="BR24" i="63"/>
  <c r="BQ29" i="63"/>
  <c r="BN27" i="60" l="1"/>
  <c r="BO22" i="60"/>
  <c r="BO27" i="60" s="1"/>
  <c r="BS24" i="63"/>
  <c r="BR29" i="63"/>
  <c r="BZ33" i="54"/>
  <c r="CA28" i="54"/>
  <c r="CB28" i="54" l="1"/>
  <c r="CA33" i="54"/>
  <c r="BT24" i="63"/>
  <c r="BS29" i="63"/>
  <c r="BU24" i="63" l="1"/>
  <c r="BT29" i="63"/>
  <c r="CC28" i="54"/>
  <c r="CB33" i="54"/>
  <c r="CD28" i="54" l="1"/>
  <c r="CC33" i="54"/>
  <c r="BV24" i="63"/>
  <c r="BV29" i="63" s="1"/>
  <c r="BU29" i="63"/>
  <c r="CD33" i="54" l="1"/>
  <c r="CE28" i="54"/>
  <c r="CF28" i="54" l="1"/>
  <c r="CE33" i="54"/>
  <c r="CG28" i="54" l="1"/>
  <c r="CF33" i="54"/>
  <c r="CH28" i="54" l="1"/>
  <c r="CG33" i="54"/>
  <c r="CH33" i="54" l="1"/>
  <c r="CI28" i="54"/>
  <c r="CJ28" i="54" l="1"/>
  <c r="CI33" i="54"/>
  <c r="CJ33" i="54" l="1"/>
  <c r="CK28" i="54"/>
  <c r="CK33" i="5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D10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In coalition with PDS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</author>
  </authors>
  <commentList>
    <comment ref="E10" authorId="0" shapeId="0" xr:uid="{00000000-0006-0000-3500-000001000000}">
      <text>
        <r>
          <rPr>
            <b/>
            <sz val="9"/>
            <color indexed="81"/>
            <rFont val="Tahoma"/>
            <family val="2"/>
          </rPr>
          <t>Fernando:</t>
        </r>
        <r>
          <rPr>
            <sz val="9"/>
            <color indexed="81"/>
            <rFont val="Tahoma"/>
            <family val="2"/>
          </rPr>
          <t xml:space="preserve">
UR after the PRRS merged with the PRD</t>
        </r>
      </text>
    </comment>
    <comment ref="E11" authorId="0" shapeId="0" xr:uid="{00000000-0006-0000-3500-000002000000}">
      <text>
        <r>
          <rPr>
            <b/>
            <sz val="9"/>
            <color indexed="81"/>
            <rFont val="Tahoma"/>
            <family val="2"/>
          </rPr>
          <t>Fernando:</t>
        </r>
        <r>
          <rPr>
            <sz val="9"/>
            <color indexed="81"/>
            <rFont val="Tahoma"/>
            <family val="2"/>
          </rPr>
          <t xml:space="preserve">
Within IR after the merger with ORGA and PRRSI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J7" authorId="0" shapeId="0" xr:uid="{00000000-0006-0000-38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Approximately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B11" authorId="0" shapeId="0" xr:uid="{00000000-0006-0000-3D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Sinn Fein (original). A modern Sinn Fein was founded in 1970</t>
        </r>
      </text>
    </comment>
    <comment ref="AF11" authorId="0" shapeId="0" xr:uid="{8BC3517C-468D-4849-97A6-AB2DA97268A6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Sinn Fein (original). A modern Sinn Fein was founded in 1970</t>
        </r>
      </text>
    </comment>
    <comment ref="U13" authorId="0" shapeId="0" xr:uid="{00000000-0006-0000-3D00-000002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Adding both LP and SDP vote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</author>
    <author>Fernando Casal Bertoa</author>
  </authors>
  <commentList>
    <comment ref="E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Fernando:</t>
        </r>
        <r>
          <rPr>
            <sz val="9"/>
            <color indexed="81"/>
            <rFont val="Tahoma"/>
            <family val="2"/>
          </rPr>
          <t xml:space="preserve">
Held during World War I, no campaigning took place, and the election was settled without voting in 104 of 114 constituencies.</t>
        </r>
      </text>
    </comment>
    <comment ref="AW1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Fernando:</t>
        </r>
        <r>
          <rPr>
            <sz val="9"/>
            <color indexed="81"/>
            <rFont val="Tahoma"/>
            <family val="2"/>
          </rPr>
          <t xml:space="preserve">
Held during World War I, no campaigning took place, and the election was settled without voting in 104 of 114 constituencies.</t>
        </r>
      </text>
    </comment>
    <comment ref="P7" authorId="1" shapeId="0" xr:uid="{00000000-0006-0000-0B00-000003000000}">
      <text>
        <r>
          <rPr>
            <b/>
            <sz val="9"/>
            <color rgb="FF000000"/>
            <rFont val="Calibri"/>
            <family val="2"/>
          </rPr>
          <t>Fernando Casal Bertoa: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The DKP was banned during occupation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A6" authorId="0" shapeId="0" xr:uid="{00000000-0006-0000-0C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Banned in 1918 it run in different elections using different "front parties" (TAK in 1920, TUV in 1923, ETP in 1926, 1929 and 1932)</t>
        </r>
      </text>
    </comment>
    <comment ref="B6" authorId="0" shapeId="0" xr:uid="{00000000-0006-0000-0C00-000002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Using different brands: Central Committee of Tallinn Trade Unions (1920), Workers' United Front (1923), Estonian Workers' Party (1926-1929), Left-wing Workers (1932)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B7" authorId="0" shapeId="0" xr:uid="{00000000-0006-0000-0E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Using different brands: Socialist Workers' Party of Finland (1920-1923) and the Socialist Electoral Organization of Workers and Smallholders (1924-1930)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G1" authorId="0" shapeId="0" xr:uid="{00000000-0006-0000-17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1935 elections were neither free nor fair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H11" authorId="0" shapeId="0" xr:uid="{00000000-0006-0000-1D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Participated in elections for the first time in 1958, the next three elections it didn't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P2" authorId="0" shapeId="0" xr:uid="{00000000-0006-0000-2A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4.6% comes from joint list with Sp or V.</t>
        </r>
      </text>
    </comment>
    <comment ref="Q2" authorId="0" shapeId="0" xr:uid="{00000000-0006-0000-2A00-000002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0.5% comes from a joint list with Sp</t>
        </r>
      </text>
    </comment>
    <comment ref="R2" authorId="0" shapeId="0" xr:uid="{00000000-0006-0000-2A00-000003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2.5% comes from a joint list with Sp</t>
        </r>
      </text>
    </comment>
    <comment ref="S2" authorId="0" shapeId="0" xr:uid="{00000000-0006-0000-2A00-000004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1.1 comes from a joint list with KrF</t>
        </r>
      </text>
    </comment>
    <comment ref="T2" authorId="0" shapeId="0" xr:uid="{00000000-0006-0000-2A00-000005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1.1% comes from a joint list with KrF</t>
        </r>
      </text>
    </comment>
    <comment ref="P3" authorId="0" shapeId="0" xr:uid="{00000000-0006-0000-2A00-000006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1.3 comes from a joint list with Sp</t>
        </r>
      </text>
    </comment>
    <comment ref="R3" authorId="0" shapeId="0" xr:uid="{00000000-0006-0000-2A00-000007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0.3% comes from a joint list with H</t>
        </r>
      </text>
    </comment>
    <comment ref="S7" authorId="0" shapeId="0" xr:uid="{00000000-0006-0000-2A00-000008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4.1% comes from a joint list with V</t>
        </r>
      </text>
    </comment>
    <comment ref="T7" authorId="0" shapeId="0" xr:uid="{00000000-0006-0000-2A00-000009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0.7% comes from a joint list with V</t>
        </r>
      </text>
    </comment>
    <comment ref="V7" authorId="0" shapeId="0" xr:uid="{00000000-0006-0000-2A00-00000A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5.5% comes from joint lists with V or with V and KrF</t>
        </r>
      </text>
    </comment>
    <comment ref="X7" authorId="0" shapeId="0" xr:uid="{00000000-0006-0000-2A00-00000B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3.6% comes from joint lists</t>
        </r>
      </text>
    </comment>
    <comment ref="P11" authorId="0" shapeId="0" xr:uid="{00000000-0006-0000-2A00-00000C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0.2% comes from a joint list with V</t>
        </r>
      </text>
    </comment>
    <comment ref="U11" authorId="0" shapeId="0" xr:uid="{00000000-0006-0000-2A00-00000D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3.9% comes from joint list with H or Sp</t>
        </r>
      </text>
    </comment>
    <comment ref="W11" authorId="0" shapeId="0" xr:uid="{00000000-0006-0000-2A00-00000E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4.8% comes from joint lists with various parties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D1" authorId="0" shapeId="0" xr:uid="{00000000-0006-0000-3000-000001000000}">
      <text>
        <r>
          <rPr>
            <b/>
            <sz val="9"/>
            <color indexed="81"/>
            <rFont val="Calibri"/>
            <family val="2"/>
          </rPr>
          <t>Fernando Casal Bertoa:</t>
        </r>
        <r>
          <rPr>
            <sz val="9"/>
            <color indexed="81"/>
            <rFont val="Calibri"/>
            <family val="2"/>
          </rPr>
          <t xml:space="preserve">
Extrapolation of votes according to % of seats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Casal Bertoa</author>
  </authors>
  <commentList>
    <comment ref="B16" authorId="0" shapeId="0" xr:uid="{00000000-0006-0000-3400-000001000000}">
      <text>
        <r>
          <rPr>
            <b/>
            <sz val="9"/>
            <color rgb="FF000000"/>
            <rFont val="Calibri"/>
            <family val="2"/>
          </rPr>
          <t>Fernando Casal Bertoa: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It can be excluded if necessary</t>
        </r>
      </text>
    </comment>
  </commentList>
</comments>
</file>

<file path=xl/sharedStrings.xml><?xml version="1.0" encoding="utf-8"?>
<sst xmlns="http://schemas.openxmlformats.org/spreadsheetml/2006/main" count="2839" uniqueCount="1564">
  <si>
    <t>CiU</t>
  </si>
  <si>
    <t>ERC</t>
  </si>
  <si>
    <t>UCD</t>
  </si>
  <si>
    <t>HB</t>
  </si>
  <si>
    <t>CDS</t>
  </si>
  <si>
    <t>UV</t>
  </si>
  <si>
    <t>PA</t>
  </si>
  <si>
    <t>UPyD</t>
  </si>
  <si>
    <t>PP**</t>
  </si>
  <si>
    <t>PSOE*</t>
  </si>
  <si>
    <t>* Includes PSC</t>
  </si>
  <si>
    <t>** Includes UPN</t>
  </si>
  <si>
    <t>PCE***</t>
  </si>
  <si>
    <t>*** Includes ICV</t>
  </si>
  <si>
    <t>TOTAL</t>
  </si>
  <si>
    <t>Parties</t>
  </si>
  <si>
    <t>IPS</t>
  </si>
  <si>
    <t>PN</t>
  </si>
  <si>
    <t>PL</t>
  </si>
  <si>
    <t>PS</t>
  </si>
  <si>
    <t>PSD</t>
  </si>
  <si>
    <t>PCP</t>
  </si>
  <si>
    <t>PRD</t>
  </si>
  <si>
    <t>CDS/PP</t>
  </si>
  <si>
    <t>*</t>
  </si>
  <si>
    <t>1989J</t>
  </si>
  <si>
    <t>1989N</t>
  </si>
  <si>
    <t>2012M</t>
  </si>
  <si>
    <t>2012J</t>
  </si>
  <si>
    <t>ND</t>
  </si>
  <si>
    <t>PASOK</t>
  </si>
  <si>
    <t>SYN</t>
  </si>
  <si>
    <t>SYRIZA</t>
  </si>
  <si>
    <t>LAOS</t>
  </si>
  <si>
    <t>ANEL</t>
  </si>
  <si>
    <t>XA</t>
  </si>
  <si>
    <t>DIMAR</t>
  </si>
  <si>
    <t>KKE*</t>
  </si>
  <si>
    <t>* Includes SYN (as an electoral coalition)</t>
  </si>
  <si>
    <t>AKEL</t>
  </si>
  <si>
    <t>DISY</t>
  </si>
  <si>
    <t>DIKO</t>
  </si>
  <si>
    <t>EDEK</t>
  </si>
  <si>
    <t>EDI</t>
  </si>
  <si>
    <t>MSZP</t>
  </si>
  <si>
    <t>SZDSZ</t>
  </si>
  <si>
    <t>MDF</t>
  </si>
  <si>
    <t>FKgP</t>
  </si>
  <si>
    <t>KDNP</t>
  </si>
  <si>
    <t>ODS</t>
  </si>
  <si>
    <t>CSSD</t>
  </si>
  <si>
    <t>KSCM</t>
  </si>
  <si>
    <t>KDU/CSL</t>
  </si>
  <si>
    <t>SPR-RSC</t>
  </si>
  <si>
    <t>ODA</t>
  </si>
  <si>
    <t>US</t>
  </si>
  <si>
    <t>HZDS</t>
  </si>
  <si>
    <t>SDL´</t>
  </si>
  <si>
    <t>KDH</t>
  </si>
  <si>
    <t>SNS</t>
  </si>
  <si>
    <t>SDKÚ</t>
  </si>
  <si>
    <t>Smer</t>
  </si>
  <si>
    <t>SMK</t>
  </si>
  <si>
    <t>SaS</t>
  </si>
  <si>
    <t>Most</t>
  </si>
  <si>
    <t>UD</t>
  </si>
  <si>
    <t>SLD</t>
  </si>
  <si>
    <t>PSL</t>
  </si>
  <si>
    <t>KPN</t>
  </si>
  <si>
    <t>UP</t>
  </si>
  <si>
    <t>PO</t>
  </si>
  <si>
    <t>PiS</t>
  </si>
  <si>
    <t>SO</t>
  </si>
  <si>
    <t>LPR</t>
  </si>
  <si>
    <t>ASZ</t>
  </si>
  <si>
    <t>1959O</t>
  </si>
  <si>
    <t>1959J</t>
  </si>
  <si>
    <t>Sj</t>
  </si>
  <si>
    <t>F</t>
  </si>
  <si>
    <t>SA/SF</t>
  </si>
  <si>
    <t>A</t>
  </si>
  <si>
    <t>K</t>
  </si>
  <si>
    <t>VG</t>
  </si>
  <si>
    <t>FF</t>
  </si>
  <si>
    <t>1993O</t>
  </si>
  <si>
    <t>1993F</t>
  </si>
  <si>
    <t>VU</t>
  </si>
  <si>
    <t>FBP</t>
  </si>
  <si>
    <t>FL</t>
  </si>
  <si>
    <t>PLA</t>
  </si>
  <si>
    <t>IDN</t>
  </si>
  <si>
    <t>NC</t>
  </si>
  <si>
    <t>AND</t>
  </si>
  <si>
    <t>UPR</t>
  </si>
  <si>
    <t>PDCS</t>
  </si>
  <si>
    <t>PSS</t>
  </si>
  <si>
    <t>SU</t>
  </si>
  <si>
    <t>AP</t>
  </si>
  <si>
    <t>BS</t>
  </si>
  <si>
    <t>PzP</t>
  </si>
  <si>
    <t>SNP</t>
  </si>
  <si>
    <t>AK</t>
  </si>
  <si>
    <t>CSV</t>
  </si>
  <si>
    <t>LSAP</t>
  </si>
  <si>
    <t>DP</t>
  </si>
  <si>
    <t>KPL</t>
  </si>
  <si>
    <t>SdP</t>
  </si>
  <si>
    <t>DG</t>
  </si>
  <si>
    <t>ADR</t>
  </si>
  <si>
    <t>DL</t>
  </si>
  <si>
    <t>TOP09</t>
  </si>
  <si>
    <t>GERB</t>
  </si>
  <si>
    <t>BSP</t>
  </si>
  <si>
    <t>DPS</t>
  </si>
  <si>
    <t>ATAKA</t>
  </si>
  <si>
    <t>SDS</t>
  </si>
  <si>
    <t>NSDV</t>
  </si>
  <si>
    <t>DSB</t>
  </si>
  <si>
    <t>BBB</t>
  </si>
  <si>
    <t>SDP</t>
  </si>
  <si>
    <t>HDZ</t>
  </si>
  <si>
    <t>HSS</t>
  </si>
  <si>
    <t>HSLS</t>
  </si>
  <si>
    <t>HNS</t>
  </si>
  <si>
    <t>HSP</t>
  </si>
  <si>
    <t>HSU</t>
  </si>
  <si>
    <t>ER</t>
  </si>
  <si>
    <t>EK</t>
  </si>
  <si>
    <t>IRL</t>
  </si>
  <si>
    <t>SDE</t>
  </si>
  <si>
    <t>ERL</t>
  </si>
  <si>
    <t>LSDP</t>
  </si>
  <si>
    <t>TT</t>
  </si>
  <si>
    <t>LLRA</t>
  </si>
  <si>
    <t>LVZS</t>
  </si>
  <si>
    <t>LCS</t>
  </si>
  <si>
    <t>LLS</t>
  </si>
  <si>
    <t>JL</t>
  </si>
  <si>
    <t>NDP</t>
  </si>
  <si>
    <t>KDS</t>
  </si>
  <si>
    <t>PDK</t>
  </si>
  <si>
    <t>LDK</t>
  </si>
  <si>
    <t>V</t>
  </si>
  <si>
    <t>AAK</t>
  </si>
  <si>
    <t>SLS</t>
  </si>
  <si>
    <t>AKR</t>
  </si>
  <si>
    <t>UNM</t>
  </si>
  <si>
    <t>SRP</t>
  </si>
  <si>
    <t>EP</t>
  </si>
  <si>
    <t>SD</t>
  </si>
  <si>
    <t>DeSUS</t>
  </si>
  <si>
    <t>Nsi</t>
  </si>
  <si>
    <t>SKD</t>
  </si>
  <si>
    <t>PR</t>
  </si>
  <si>
    <t>VOB</t>
  </si>
  <si>
    <t>KPU</t>
  </si>
  <si>
    <t>NP</t>
  </si>
  <si>
    <t>SPU</t>
  </si>
  <si>
    <t>SP</t>
  </si>
  <si>
    <t>LSI</t>
  </si>
  <si>
    <t>PRS</t>
  </si>
  <si>
    <t>PBDNJ</t>
  </si>
  <si>
    <t>PDR</t>
  </si>
  <si>
    <t>PAD</t>
  </si>
  <si>
    <t>TP</t>
  </si>
  <si>
    <t>ZZS</t>
  </si>
  <si>
    <t>SC</t>
  </si>
  <si>
    <t>LPP/LC</t>
  </si>
  <si>
    <t>PCTVL</t>
  </si>
  <si>
    <t>LC</t>
  </si>
  <si>
    <t>NA</t>
  </si>
  <si>
    <t>LPP</t>
  </si>
  <si>
    <t>TSP</t>
  </si>
  <si>
    <t>TB</t>
  </si>
  <si>
    <t>LNNK</t>
  </si>
  <si>
    <t>LKDS</t>
  </si>
  <si>
    <t>LVP</t>
  </si>
  <si>
    <t>LZS</t>
  </si>
  <si>
    <t>PDL</t>
  </si>
  <si>
    <t>PNL</t>
  </si>
  <si>
    <t>UDMR</t>
  </si>
  <si>
    <t>PRM</t>
  </si>
  <si>
    <t>PCRM</t>
  </si>
  <si>
    <t>LDP</t>
  </si>
  <si>
    <t>AMN</t>
  </si>
  <si>
    <t>PLDM</t>
  </si>
  <si>
    <t>PDM</t>
  </si>
  <si>
    <t>2009A</t>
  </si>
  <si>
    <t>2009J</t>
  </si>
  <si>
    <t>PPCD</t>
  </si>
  <si>
    <t>PSM</t>
  </si>
  <si>
    <t>VMRO-DPMNE</t>
  </si>
  <si>
    <t>SDSM</t>
  </si>
  <si>
    <t>DUI</t>
  </si>
  <si>
    <t>DPA</t>
  </si>
  <si>
    <t>PDP</t>
  </si>
  <si>
    <t>NSDP</t>
  </si>
  <si>
    <t>SPM</t>
  </si>
  <si>
    <t>DS</t>
  </si>
  <si>
    <t>SPS</t>
  </si>
  <si>
    <t>DSS</t>
  </si>
  <si>
    <t>SRS</t>
  </si>
  <si>
    <t>G17+</t>
  </si>
  <si>
    <t>VMSZ</t>
  </si>
  <si>
    <t>SPO</t>
  </si>
  <si>
    <t>KPRF</t>
  </si>
  <si>
    <t>Y</t>
  </si>
  <si>
    <t>LDPR</t>
  </si>
  <si>
    <t>CS</t>
  </si>
  <si>
    <t>SPÖ</t>
  </si>
  <si>
    <t>GDVP</t>
  </si>
  <si>
    <t>ETE</t>
  </si>
  <si>
    <t>PK</t>
  </si>
  <si>
    <t>EISTP</t>
  </si>
  <si>
    <t>KRE</t>
  </si>
  <si>
    <t>DbPE</t>
  </si>
  <si>
    <t>ML</t>
  </si>
  <si>
    <t>Kok.</t>
  </si>
  <si>
    <t>KE</t>
  </si>
  <si>
    <t>RKP</t>
  </si>
  <si>
    <t>PSOE</t>
  </si>
  <si>
    <t>AR</t>
  </si>
  <si>
    <t>PRR</t>
  </si>
  <si>
    <t>PRC</t>
  </si>
  <si>
    <t>CEDA</t>
  </si>
  <si>
    <t>PRRS</t>
  </si>
  <si>
    <t>RI</t>
  </si>
  <si>
    <t>PAE</t>
  </si>
  <si>
    <t>CHP</t>
  </si>
  <si>
    <t>YTP</t>
  </si>
  <si>
    <t>MP</t>
  </si>
  <si>
    <t>TIP</t>
  </si>
  <si>
    <t>MSP</t>
  </si>
  <si>
    <t>1924D</t>
  </si>
  <si>
    <t>1924My</t>
  </si>
  <si>
    <t>SPD</t>
  </si>
  <si>
    <t>Z</t>
  </si>
  <si>
    <t>DDP</t>
  </si>
  <si>
    <t>DNVP</t>
  </si>
  <si>
    <t>USPD</t>
  </si>
  <si>
    <t>DVP</t>
  </si>
  <si>
    <t>BVP</t>
  </si>
  <si>
    <t>KPD</t>
  </si>
  <si>
    <t>BdL</t>
  </si>
  <si>
    <t>CNBL</t>
  </si>
  <si>
    <t>NSDAP</t>
  </si>
  <si>
    <t>ÖVP</t>
  </si>
  <si>
    <t>KPÖ</t>
  </si>
  <si>
    <t>VdU</t>
  </si>
  <si>
    <t>FPÖ</t>
  </si>
  <si>
    <t>FP</t>
  </si>
  <si>
    <t>KD</t>
  </si>
  <si>
    <t>RP</t>
  </si>
  <si>
    <t>1920A</t>
  </si>
  <si>
    <t>1920J</t>
  </si>
  <si>
    <t>1920S</t>
  </si>
  <si>
    <t>1953A</t>
  </si>
  <si>
    <t>1953S</t>
  </si>
  <si>
    <t>H</t>
  </si>
  <si>
    <t>B</t>
  </si>
  <si>
    <t>C</t>
  </si>
  <si>
    <t>DR</t>
  </si>
  <si>
    <t>DKP</t>
  </si>
  <si>
    <t>DNSAP</t>
  </si>
  <si>
    <t>SKDL</t>
  </si>
  <si>
    <t>SK</t>
  </si>
  <si>
    <t>TPSL</t>
  </si>
  <si>
    <t>LK</t>
  </si>
  <si>
    <t>SMP</t>
  </si>
  <si>
    <t>1946N</t>
  </si>
  <si>
    <t>PCF</t>
  </si>
  <si>
    <t>MRP</t>
  </si>
  <si>
    <t>SFIO</t>
  </si>
  <si>
    <t>CNIP</t>
  </si>
  <si>
    <t>CDU</t>
  </si>
  <si>
    <t>FDP</t>
  </si>
  <si>
    <t>CSU</t>
  </si>
  <si>
    <t>DZP</t>
  </si>
  <si>
    <t>1927J</t>
  </si>
  <si>
    <t>1927S</t>
  </si>
  <si>
    <t>1982F</t>
  </si>
  <si>
    <t>1982N</t>
  </si>
  <si>
    <t>PLO</t>
  </si>
  <si>
    <t>SF</t>
  </si>
  <si>
    <t>FG</t>
  </si>
  <si>
    <t>NLP</t>
  </si>
  <si>
    <t>RF</t>
  </si>
  <si>
    <t>FV</t>
  </si>
  <si>
    <t>Sp</t>
  </si>
  <si>
    <t>NKP</t>
  </si>
  <si>
    <t>KVP</t>
  </si>
  <si>
    <t>SDAP</t>
  </si>
  <si>
    <t>ARP</t>
  </si>
  <si>
    <t>CHU</t>
  </si>
  <si>
    <t>VDB</t>
  </si>
  <si>
    <t>SAP</t>
  </si>
  <si>
    <t>JR</t>
  </si>
  <si>
    <t>SLP</t>
  </si>
  <si>
    <t>DC</t>
  </si>
  <si>
    <t>PSI</t>
  </si>
  <si>
    <t>PSDI</t>
  </si>
  <si>
    <t>PLI</t>
  </si>
  <si>
    <t>PRI</t>
  </si>
  <si>
    <t>SVP</t>
  </si>
  <si>
    <t>PNM</t>
  </si>
  <si>
    <t>1974F</t>
  </si>
  <si>
    <t>1974O</t>
  </si>
  <si>
    <t>Cons.</t>
  </si>
  <si>
    <t>Lab.</t>
  </si>
  <si>
    <t>Lib.</t>
  </si>
  <si>
    <t>ANAP</t>
  </si>
  <si>
    <t>DSP</t>
  </si>
  <si>
    <t>MHP</t>
  </si>
  <si>
    <t>AKP</t>
  </si>
  <si>
    <t>CVP</t>
  </si>
  <si>
    <t>BGB</t>
  </si>
  <si>
    <t>LPS</t>
  </si>
  <si>
    <t>CSDSD</t>
  </si>
  <si>
    <t>CSL</t>
  </si>
  <si>
    <t>CZOSS</t>
  </si>
  <si>
    <t>DSAP</t>
  </si>
  <si>
    <t>RSZML</t>
  </si>
  <si>
    <t>DCVP</t>
  </si>
  <si>
    <t>OKSZP</t>
  </si>
  <si>
    <t>KSC</t>
  </si>
  <si>
    <t>CSNS</t>
  </si>
  <si>
    <t>SL´S</t>
  </si>
  <si>
    <t>DNP</t>
  </si>
  <si>
    <t>LSDSP</t>
  </si>
  <si>
    <t>PSU</t>
  </si>
  <si>
    <t>UDF</t>
  </si>
  <si>
    <t>FN</t>
  </si>
  <si>
    <t>RM</t>
  </si>
  <si>
    <t>S</t>
  </si>
  <si>
    <t>Rs</t>
  </si>
  <si>
    <t>RAD</t>
  </si>
  <si>
    <t>SI</t>
  </si>
  <si>
    <t>LIC</t>
  </si>
  <si>
    <t>PRF</t>
  </si>
  <si>
    <t>PRCon</t>
  </si>
  <si>
    <t>RE</t>
  </si>
  <si>
    <t>CT</t>
  </si>
  <si>
    <t>Jobbik</t>
  </si>
  <si>
    <t>LMP</t>
  </si>
  <si>
    <t>CDR</t>
  </si>
  <si>
    <t>KF</t>
  </si>
  <si>
    <t>AEK</t>
  </si>
  <si>
    <t>KKE</t>
  </si>
  <si>
    <t>PPS</t>
  </si>
  <si>
    <t>UDS</t>
  </si>
  <si>
    <t>VOS</t>
  </si>
  <si>
    <t>SDPU (o)</t>
  </si>
  <si>
    <t>UDAR</t>
  </si>
  <si>
    <t>NRU</t>
  </si>
  <si>
    <t>PRiP</t>
  </si>
  <si>
    <t>LiF</t>
  </si>
  <si>
    <t>BZÖ</t>
  </si>
  <si>
    <t>PD</t>
  </si>
  <si>
    <t>GP</t>
  </si>
  <si>
    <t>PC</t>
  </si>
  <si>
    <t>Lib. Dem.</t>
  </si>
  <si>
    <t>PDS</t>
  </si>
  <si>
    <t>DA</t>
  </si>
  <si>
    <t>DU</t>
  </si>
  <si>
    <t>VS</t>
  </si>
  <si>
    <t>CD</t>
  </si>
  <si>
    <t>DF</t>
  </si>
  <si>
    <t>LA</t>
  </si>
  <si>
    <t>KrF</t>
  </si>
  <si>
    <t>SV</t>
  </si>
  <si>
    <t>FrP</t>
  </si>
  <si>
    <t>MdG</t>
  </si>
  <si>
    <t>LdU</t>
  </si>
  <si>
    <t>BE</t>
  </si>
  <si>
    <t>RB</t>
  </si>
  <si>
    <t>GPS</t>
  </si>
  <si>
    <t>FPS</t>
  </si>
  <si>
    <t>GLP</t>
  </si>
  <si>
    <t>BDP</t>
  </si>
  <si>
    <t>PvdA</t>
  </si>
  <si>
    <t>VVD</t>
  </si>
  <si>
    <t>PSP</t>
  </si>
  <si>
    <t>BP</t>
  </si>
  <si>
    <t>D'66</t>
  </si>
  <si>
    <t>DS'70</t>
  </si>
  <si>
    <t>PPR</t>
  </si>
  <si>
    <t>CDA</t>
  </si>
  <si>
    <t>GL</t>
  </si>
  <si>
    <t>CU</t>
  </si>
  <si>
    <t>PVV</t>
  </si>
  <si>
    <t>LN</t>
  </si>
  <si>
    <t>FI</t>
  </si>
  <si>
    <t>DC/PPI</t>
  </si>
  <si>
    <t>MSI/AN</t>
  </si>
  <si>
    <t>CCD</t>
  </si>
  <si>
    <t>IdV</t>
  </si>
  <si>
    <t>UdC</t>
  </si>
  <si>
    <t>PdL</t>
  </si>
  <si>
    <t>PCI/PDS/DS</t>
  </si>
  <si>
    <t>FR</t>
  </si>
  <si>
    <t>ARD</t>
  </si>
  <si>
    <t>PRRRS</t>
  </si>
  <si>
    <t>ALP</t>
  </si>
  <si>
    <t>RW</t>
  </si>
  <si>
    <t>PRL</t>
  </si>
  <si>
    <t>VB</t>
  </si>
  <si>
    <t>Ecolo</t>
  </si>
  <si>
    <t>NV-A</t>
  </si>
  <si>
    <t>LDD</t>
  </si>
  <si>
    <t>PVDA</t>
  </si>
  <si>
    <t>2015J</t>
  </si>
  <si>
    <t>2015S</t>
  </si>
  <si>
    <t>1932J</t>
  </si>
  <si>
    <t>1932N</t>
  </si>
  <si>
    <t>FDP.DL</t>
  </si>
  <si>
    <t>HDP</t>
  </si>
  <si>
    <t>OL'aNO</t>
  </si>
  <si>
    <t>ZChN</t>
  </si>
  <si>
    <t>KLD</t>
  </si>
  <si>
    <t>BBWR</t>
  </si>
  <si>
    <t>KORWiN</t>
  </si>
  <si>
    <t>Razem</t>
  </si>
  <si>
    <t>K'15</t>
  </si>
  <si>
    <t>N.</t>
  </si>
  <si>
    <t>PPPP</t>
  </si>
  <si>
    <t>AWS</t>
  </si>
  <si>
    <t>SdPL</t>
  </si>
  <si>
    <t>ROP</t>
  </si>
  <si>
    <t>Fidesz</t>
  </si>
  <si>
    <t>Munkaspart</t>
  </si>
  <si>
    <t>MIEP</t>
  </si>
  <si>
    <t>MSZDP</t>
  </si>
  <si>
    <t>UW</t>
  </si>
  <si>
    <t>PDSS</t>
  </si>
  <si>
    <t>LZhK</t>
  </si>
  <si>
    <t>RD</t>
  </si>
  <si>
    <t>VA</t>
  </si>
  <si>
    <t>Social Democratic Party</t>
  </si>
  <si>
    <t>CNA.</t>
  </si>
  <si>
    <t>ApC</t>
  </si>
  <si>
    <t>Christian Social Party</t>
  </si>
  <si>
    <t>Landbund</t>
  </si>
  <si>
    <t>DFP</t>
  </si>
  <si>
    <t>Grüne</t>
  </si>
  <si>
    <t>TSÖ</t>
  </si>
  <si>
    <t>NEOS</t>
  </si>
  <si>
    <t>LP</t>
  </si>
  <si>
    <t>KVV</t>
  </si>
  <si>
    <t>Socialist Party</t>
  </si>
  <si>
    <t>sp.a</t>
  </si>
  <si>
    <t>ROSSEM</t>
  </si>
  <si>
    <t>BZNS-O</t>
  </si>
  <si>
    <t>BZNS-NP</t>
  </si>
  <si>
    <t>SDS-C</t>
  </si>
  <si>
    <t>NFSB</t>
  </si>
  <si>
    <t>BBT</t>
  </si>
  <si>
    <t>ABV</t>
  </si>
  <si>
    <t>DBG</t>
  </si>
  <si>
    <t>RZS</t>
  </si>
  <si>
    <t>Lider</t>
  </si>
  <si>
    <t>VMRO</t>
  </si>
  <si>
    <t>KSII</t>
  </si>
  <si>
    <t>BEL</t>
  </si>
  <si>
    <t>DAR</t>
  </si>
  <si>
    <t>BZNS-NS</t>
  </si>
  <si>
    <t>ZZ</t>
  </si>
  <si>
    <t>MOST</t>
  </si>
  <si>
    <t>HLSR</t>
  </si>
  <si>
    <t>CND</t>
  </si>
  <si>
    <t>USVIT</t>
  </si>
  <si>
    <t>SZ</t>
  </si>
  <si>
    <t>DZJ</t>
  </si>
  <si>
    <t>ZS</t>
  </si>
  <si>
    <t>HSD-SMS</t>
  </si>
  <si>
    <t>OH</t>
  </si>
  <si>
    <t>SPZR</t>
  </si>
  <si>
    <t>VV</t>
  </si>
  <si>
    <t>ANO</t>
  </si>
  <si>
    <t>Bp</t>
  </si>
  <si>
    <t>DRG</t>
  </si>
  <si>
    <t>Estonian Reform Party</t>
  </si>
  <si>
    <t>Estonian Centre Party</t>
  </si>
  <si>
    <t>Union of Pro Partia and Res Publica</t>
  </si>
  <si>
    <t>EV</t>
  </si>
  <si>
    <t>Estonian Free Party</t>
  </si>
  <si>
    <t>EKRE</t>
  </si>
  <si>
    <t>Conservative People's Party</t>
  </si>
  <si>
    <t>EK.</t>
  </si>
  <si>
    <t>Estonian Coalition Party</t>
  </si>
  <si>
    <t>EER</t>
  </si>
  <si>
    <t>Estonian Greens</t>
  </si>
  <si>
    <t>RKEI</t>
  </si>
  <si>
    <t>Pro Patria National Coalition</t>
  </si>
  <si>
    <t>Constitution Party</t>
  </si>
  <si>
    <t>VKE</t>
  </si>
  <si>
    <t>People's Party of Republicans and Conservatives</t>
  </si>
  <si>
    <t>ERSP</t>
  </si>
  <si>
    <t>Estonian Nationalist Independent Party</t>
  </si>
  <si>
    <t>Independent Royalist Party</t>
  </si>
  <si>
    <t>I</t>
  </si>
  <si>
    <t>Pro Patria Union</t>
  </si>
  <si>
    <t>ERP</t>
  </si>
  <si>
    <t>Res Publica Party</t>
  </si>
  <si>
    <t>People's Union of Estonia</t>
  </si>
  <si>
    <t>RVP</t>
  </si>
  <si>
    <t>VRLE</t>
  </si>
  <si>
    <t>AVK</t>
  </si>
  <si>
    <t>RKE</t>
  </si>
  <si>
    <t>Kok (SP)</t>
  </si>
  <si>
    <t>ESTP (ESTDP)</t>
  </si>
  <si>
    <t>VL</t>
  </si>
  <si>
    <t>Ko-dS</t>
  </si>
  <si>
    <t>NRP</t>
  </si>
  <si>
    <t>DAK</t>
  </si>
  <si>
    <t>KDM</t>
  </si>
  <si>
    <t>UG</t>
  </si>
  <si>
    <t>UFF</t>
  </si>
  <si>
    <t>CNRS (RPF)</t>
  </si>
  <si>
    <t>RPDM</t>
  </si>
  <si>
    <t>AfD</t>
  </si>
  <si>
    <t>NPD</t>
  </si>
  <si>
    <t>GB/BHE</t>
  </si>
  <si>
    <t>AB</t>
  </si>
  <si>
    <t>ERK</t>
  </si>
  <si>
    <t>DIKKI</t>
  </si>
  <si>
    <t>PR ORA</t>
  </si>
  <si>
    <t>SLKM</t>
  </si>
  <si>
    <t>NISMA</t>
  </si>
  <si>
    <t>SDML</t>
  </si>
  <si>
    <t>LKZK</t>
  </si>
  <si>
    <t>DbDP</t>
  </si>
  <si>
    <t>SKP</t>
  </si>
  <si>
    <t>LJSP</t>
  </si>
  <si>
    <t>LDZA</t>
  </si>
  <si>
    <t>KNS</t>
  </si>
  <si>
    <t>SL</t>
  </si>
  <si>
    <t>TKL</t>
  </si>
  <si>
    <t>LSP</t>
  </si>
  <si>
    <t>DCP</t>
  </si>
  <si>
    <t>JP</t>
  </si>
  <si>
    <t>NsL</t>
  </si>
  <si>
    <t>LRA</t>
  </si>
  <si>
    <t>TS/LKD</t>
  </si>
  <si>
    <t>TPP</t>
  </si>
  <si>
    <t>LDDP</t>
  </si>
  <si>
    <t>LsDP</t>
  </si>
  <si>
    <t>DK</t>
  </si>
  <si>
    <t>LCiS</t>
  </si>
  <si>
    <t>NS</t>
  </si>
  <si>
    <t>FRONTAS</t>
  </si>
  <si>
    <t>LRLS</t>
  </si>
  <si>
    <t>VMRO-NP</t>
  </si>
  <si>
    <t>MAAK</t>
  </si>
  <si>
    <t>LPM</t>
  </si>
  <si>
    <t>CWP</t>
  </si>
  <si>
    <t>PRCM</t>
  </si>
  <si>
    <t>PSRM</t>
  </si>
  <si>
    <t>PCR</t>
  </si>
  <si>
    <t>PDAM</t>
  </si>
  <si>
    <t>PFD</t>
  </si>
  <si>
    <t>ASDM</t>
  </si>
  <si>
    <t>PCG</t>
  </si>
  <si>
    <t>PDSR</t>
  </si>
  <si>
    <t>ApR</t>
  </si>
  <si>
    <t>PP-DD</t>
  </si>
  <si>
    <t>PUNR</t>
  </si>
  <si>
    <t>PNTCD</t>
  </si>
  <si>
    <t>YR</t>
  </si>
  <si>
    <t>RODP"Y"</t>
  </si>
  <si>
    <t>APR</t>
  </si>
  <si>
    <t>RPP</t>
  </si>
  <si>
    <t>R-NPS</t>
  </si>
  <si>
    <t>OBP</t>
  </si>
  <si>
    <t>LS</t>
  </si>
  <si>
    <t>PUPS</t>
  </si>
  <si>
    <t>SSJ</t>
  </si>
  <si>
    <t>MKDH</t>
  </si>
  <si>
    <t>VPN</t>
  </si>
  <si>
    <t>SDSS</t>
  </si>
  <si>
    <t>DEUS</t>
  </si>
  <si>
    <t>ZRS</t>
  </si>
  <si>
    <t>SKDH</t>
  </si>
  <si>
    <t>SDK</t>
  </si>
  <si>
    <t>L'SNS</t>
  </si>
  <si>
    <t>SME R</t>
  </si>
  <si>
    <t>SIET</t>
  </si>
  <si>
    <t>KSS</t>
  </si>
  <si>
    <t>PSNS</t>
  </si>
  <si>
    <t>HzD</t>
  </si>
  <si>
    <t>SOP</t>
  </si>
  <si>
    <t>Zares</t>
  </si>
  <si>
    <t>SMS</t>
  </si>
  <si>
    <t>SMC</t>
  </si>
  <si>
    <t>ZL</t>
  </si>
  <si>
    <t>ZaAB</t>
  </si>
  <si>
    <t>AS</t>
  </si>
  <si>
    <t>DLR</t>
  </si>
  <si>
    <t>UR</t>
  </si>
  <si>
    <t>PCD</t>
  </si>
  <si>
    <t>IR</t>
  </si>
  <si>
    <t>Podemos</t>
  </si>
  <si>
    <t>C's</t>
  </si>
  <si>
    <t>MHP (CKMP)</t>
  </si>
  <si>
    <t>HADEP</t>
  </si>
  <si>
    <t>HP</t>
  </si>
  <si>
    <t>MDP</t>
  </si>
  <si>
    <t>DYP</t>
  </si>
  <si>
    <t>DEHAP</t>
  </si>
  <si>
    <t>PZU</t>
  </si>
  <si>
    <t>VoH</t>
  </si>
  <si>
    <t>PSPU</t>
  </si>
  <si>
    <t>NUNS</t>
  </si>
  <si>
    <t>UKIP</t>
  </si>
  <si>
    <t>SUP</t>
  </si>
  <si>
    <t>ILibP</t>
  </si>
  <si>
    <t>PdA</t>
  </si>
  <si>
    <t>SpG</t>
  </si>
  <si>
    <t>MS</t>
  </si>
  <si>
    <t>NyD</t>
  </si>
  <si>
    <t>SSV</t>
  </si>
  <si>
    <t>Fi</t>
  </si>
  <si>
    <t>NSdA</t>
  </si>
  <si>
    <t>DLF</t>
  </si>
  <si>
    <t>Rep.</t>
  </si>
  <si>
    <t>Nat.</t>
  </si>
  <si>
    <t>MoDem</t>
  </si>
  <si>
    <t>GE</t>
  </si>
  <si>
    <t>Af</t>
  </si>
  <si>
    <t>BJ</t>
  </si>
  <si>
    <t>SFV</t>
  </si>
  <si>
    <t>L</t>
  </si>
  <si>
    <t>Ab</t>
  </si>
  <si>
    <t>KL</t>
  </si>
  <si>
    <t>I-LL</t>
  </si>
  <si>
    <t>BF</t>
  </si>
  <si>
    <t>P</t>
  </si>
  <si>
    <t>D</t>
  </si>
  <si>
    <t>FH</t>
  </si>
  <si>
    <t>"NPP"</t>
  </si>
  <si>
    <t>"NA"</t>
  </si>
  <si>
    <t>Bh</t>
  </si>
  <si>
    <t>PnO</t>
  </si>
  <si>
    <t>NCP</t>
  </si>
  <si>
    <t>CnG</t>
  </si>
  <si>
    <t>SF (O)</t>
  </si>
  <si>
    <t>SF (M)</t>
  </si>
  <si>
    <t>CG</t>
  </si>
  <si>
    <t>CnT</t>
  </si>
  <si>
    <t>CnP</t>
  </si>
  <si>
    <t>ON</t>
  </si>
  <si>
    <t>RSP</t>
  </si>
  <si>
    <t>UNI</t>
  </si>
  <si>
    <t>PIE</t>
  </si>
  <si>
    <t>RL</t>
  </si>
  <si>
    <t>MIP</t>
  </si>
  <si>
    <t>GLEI</t>
  </si>
  <si>
    <t>GAP</t>
  </si>
  <si>
    <t>BvBL</t>
  </si>
  <si>
    <t>EB</t>
  </si>
  <si>
    <t>NSB</t>
  </si>
  <si>
    <t>AOV</t>
  </si>
  <si>
    <t>LPF</t>
  </si>
  <si>
    <t>LU</t>
  </si>
  <si>
    <t>MC10</t>
  </si>
  <si>
    <t>RETE</t>
  </si>
  <si>
    <t>MD</t>
  </si>
  <si>
    <t>SR</t>
  </si>
  <si>
    <t>APIL</t>
  </si>
  <si>
    <t>PAA (PAS)</t>
  </si>
  <si>
    <t>Socialist Party of Albania</t>
  </si>
  <si>
    <t>Democratic Party of Albania</t>
  </si>
  <si>
    <t>Social Democratic Party of Albania</t>
  </si>
  <si>
    <t>New Democratic Party</t>
  </si>
  <si>
    <t>Environmentalist Agrarian Party</t>
  </si>
  <si>
    <t>Democratic Alliance Party</t>
  </si>
  <si>
    <t>Christian Democratic Party</t>
  </si>
  <si>
    <t>Unity for Human Rights Party</t>
  </si>
  <si>
    <t>Republican Party of Albania</t>
  </si>
  <si>
    <t>Social Democracy Party of Albania</t>
  </si>
  <si>
    <t>Movement for National Development</t>
  </si>
  <si>
    <t>Socialist Movement for Integration</t>
  </si>
  <si>
    <t>Name</t>
  </si>
  <si>
    <t>Greater German People's Party</t>
  </si>
  <si>
    <t>Homeland Bloc</t>
  </si>
  <si>
    <t>Nazi Party</t>
  </si>
  <si>
    <t>Rural Federation</t>
  </si>
  <si>
    <t>Austrian People´s Party</t>
  </si>
  <si>
    <t>Communist Party of Austria</t>
  </si>
  <si>
    <t>Federation of Independents</t>
  </si>
  <si>
    <t>Freedom Party of Austria</t>
  </si>
  <si>
    <t>The Greens-The Green Alternative</t>
  </si>
  <si>
    <t>Democratic Progressive Party</t>
  </si>
  <si>
    <t>Team Stronach</t>
  </si>
  <si>
    <t>NEOS-The new Austria</t>
  </si>
  <si>
    <t>Liberal Forum</t>
  </si>
  <si>
    <t>Alliance for the Future of Austria</t>
  </si>
  <si>
    <t>Conservative Party</t>
  </si>
  <si>
    <t>Labour Party</t>
  </si>
  <si>
    <t>Liberal Party</t>
  </si>
  <si>
    <t>National Liberal Party</t>
  </si>
  <si>
    <t>Independent Liberal Party</t>
  </si>
  <si>
    <t>UK Independence Party</t>
  </si>
  <si>
    <t>Scottish Unionist Party</t>
  </si>
  <si>
    <t>Sinn Fein</t>
  </si>
  <si>
    <t>Scottish National Party</t>
  </si>
  <si>
    <t>Liberal Democrats</t>
  </si>
  <si>
    <t>Communist Party of Ukraine</t>
  </si>
  <si>
    <t>Socialist Party of Ukraine</t>
  </si>
  <si>
    <t>All-Ukrainian Union "Svoboda"</t>
  </si>
  <si>
    <t>People's Movement of Ukraine</t>
  </si>
  <si>
    <t>Slavic Party</t>
  </si>
  <si>
    <t>Party of Greens of Ukraine</t>
  </si>
  <si>
    <t>Party of Regions</t>
  </si>
  <si>
    <t>Social Democratic Party of Ukraine (United)</t>
  </si>
  <si>
    <t>People's Democratic Party</t>
  </si>
  <si>
    <t>Hromada</t>
  </si>
  <si>
    <t>Progressive Socialist Party of Ukraine</t>
  </si>
  <si>
    <t>People's Party</t>
  </si>
  <si>
    <t>Reforms and Order Party</t>
  </si>
  <si>
    <t>Radical Party</t>
  </si>
  <si>
    <t>All-Ukrainian Union "Fatherland"</t>
  </si>
  <si>
    <t>Our Ukraine</t>
  </si>
  <si>
    <t>Ukrainian Democratic Alliance for Reform</t>
  </si>
  <si>
    <t>Justice and Development Party</t>
  </si>
  <si>
    <t>Republican People´s Party</t>
  </si>
  <si>
    <t>Nationalist Movement Party</t>
  </si>
  <si>
    <t>Motherland Party</t>
  </si>
  <si>
    <t>People's Democracy Party</t>
  </si>
  <si>
    <t>Populist Party</t>
  </si>
  <si>
    <t>Nationalist Democratic Party</t>
  </si>
  <si>
    <t>Socialist Democratic Populist Party</t>
  </si>
  <si>
    <t>True Path Party</t>
  </si>
  <si>
    <t>Young Party</t>
  </si>
  <si>
    <t>Democratic People's Party</t>
  </si>
  <si>
    <t>Welfare Party</t>
  </si>
  <si>
    <t>Democratic Left Party</t>
  </si>
  <si>
    <t>Virtue Party</t>
  </si>
  <si>
    <t>SHP</t>
  </si>
  <si>
    <t>Justice Party</t>
  </si>
  <si>
    <t>New Turkey Party</t>
  </si>
  <si>
    <t>Nation Party</t>
  </si>
  <si>
    <t>Workers Party of Turkey</t>
  </si>
  <si>
    <t>Reliance Party</t>
  </si>
  <si>
    <t>National Salvation Party</t>
  </si>
  <si>
    <t>Democratic Party</t>
  </si>
  <si>
    <t>Free Democratic Party</t>
  </si>
  <si>
    <t>Christian Democratic People's Party of Switzerland</t>
  </si>
  <si>
    <t>Liberal Party of Switzerland</t>
  </si>
  <si>
    <t>Social-Political Group</t>
  </si>
  <si>
    <t>Party of Farmers´, Traders and Independents</t>
  </si>
  <si>
    <t>Ring of Independents</t>
  </si>
  <si>
    <t>Young Farmers</t>
  </si>
  <si>
    <t>Swiss Party of Labour</t>
  </si>
  <si>
    <t>Swiss Democrats</t>
  </si>
  <si>
    <t>Swiss People's Party</t>
  </si>
  <si>
    <t>Republican Movement</t>
  </si>
  <si>
    <t>Green Party of Switzerland</t>
  </si>
  <si>
    <t>Freedom Party of Switzerland</t>
  </si>
  <si>
    <t>Green Liberal Party</t>
  </si>
  <si>
    <t>FDP.The Liberals</t>
  </si>
  <si>
    <t>Conservative Democratic Party</t>
  </si>
  <si>
    <t>Swedish Social Democratic Party</t>
  </si>
  <si>
    <t>Free-minded National Association</t>
  </si>
  <si>
    <t>Moderate Party</t>
  </si>
  <si>
    <t>Left Party</t>
  </si>
  <si>
    <t>Centre Party</t>
  </si>
  <si>
    <t>National Farmers' Association</t>
  </si>
  <si>
    <t>Liberal Party of Sweden</t>
  </si>
  <si>
    <t>Liberal People´s Party</t>
  </si>
  <si>
    <t>Christian Democrats</t>
  </si>
  <si>
    <t>New Democracy</t>
  </si>
  <si>
    <t>Social Democratic Left Party of Sweden</t>
  </si>
  <si>
    <t>Feminist Initiative</t>
  </si>
  <si>
    <t>Green Party</t>
  </si>
  <si>
    <t>Sweden Democrats</t>
  </si>
  <si>
    <t>Spanish Socialist Workers´ Party</t>
  </si>
  <si>
    <t>People´s Party</t>
  </si>
  <si>
    <t>Communist Party of Spain</t>
  </si>
  <si>
    <t>Convergence and Union</t>
  </si>
  <si>
    <t>Union of the Democratic Centre</t>
  </si>
  <si>
    <t>Union, Progress and Democracy</t>
  </si>
  <si>
    <t>We Can</t>
  </si>
  <si>
    <t>Citizens</t>
  </si>
  <si>
    <t>Democratic and Social Centre</t>
  </si>
  <si>
    <t>Regionalist List</t>
  </si>
  <si>
    <t>Spanish Agrarian Party</t>
  </si>
  <si>
    <t>Liberal Republican Right</t>
  </si>
  <si>
    <t>Republican Union</t>
  </si>
  <si>
    <t>Republican Left</t>
  </si>
  <si>
    <t>Radical Republican Party</t>
  </si>
  <si>
    <t>Federal Republican Party</t>
  </si>
  <si>
    <t>Radical Socialist Republican Party</t>
  </si>
  <si>
    <t>Republican Action</t>
  </si>
  <si>
    <t>Republican Left of Catalonia</t>
  </si>
  <si>
    <t>Traditionalist Communion</t>
  </si>
  <si>
    <t>Democratic Centre Party</t>
  </si>
  <si>
    <t>Republican Conservative Party</t>
  </si>
  <si>
    <t>Spanish Renewal</t>
  </si>
  <si>
    <t>Spanish Confederation of the Autonomous Right</t>
  </si>
  <si>
    <t>LDS (O)</t>
  </si>
  <si>
    <t>LDS (M)</t>
  </si>
  <si>
    <t>Slovenian Democratic Party</t>
  </si>
  <si>
    <t>Social Democrats</t>
  </si>
  <si>
    <t>Slovenian People's Party</t>
  </si>
  <si>
    <t>Liberal Democracy of Slovenia</t>
  </si>
  <si>
    <t>Slovenian National Party</t>
  </si>
  <si>
    <t>United Left</t>
  </si>
  <si>
    <t>Alliance of Alenka Bratusek</t>
  </si>
  <si>
    <t>Party of Miro Cerar</t>
  </si>
  <si>
    <t>Positive Slovenia</t>
  </si>
  <si>
    <t>Civic List</t>
  </si>
  <si>
    <t>Active Slovenia</t>
  </si>
  <si>
    <t>Slovenian Christian Democrats</t>
  </si>
  <si>
    <t>Youth Party of Slovenia</t>
  </si>
  <si>
    <t>Democratic Party of Slovenia</t>
  </si>
  <si>
    <t>Greens of Slovenia</t>
  </si>
  <si>
    <t>Democratic Party of Pensioners of Slovenia</t>
  </si>
  <si>
    <t>New Slovenia</t>
  </si>
  <si>
    <t>Movement for a Democratic Slovakia</t>
  </si>
  <si>
    <t>Party of the Democratic Left</t>
  </si>
  <si>
    <t>Christian Democratic Movement</t>
  </si>
  <si>
    <t>Slovak National Party</t>
  </si>
  <si>
    <t>Party of the Hungarian Coalition</t>
  </si>
  <si>
    <t>Slovak Democratic and Christian Union</t>
  </si>
  <si>
    <t>Direction-Social Democracy</t>
  </si>
  <si>
    <t>Public Against Violence</t>
  </si>
  <si>
    <t>Social Democratic Party of Slovakia</t>
  </si>
  <si>
    <t>Democratic Union of Slovakia</t>
  </si>
  <si>
    <t>Union of Workers of Slovakia</t>
  </si>
  <si>
    <t>Slovak Christian Democratic Movement</t>
  </si>
  <si>
    <t>Slovak Democratic Coalition</t>
  </si>
  <si>
    <t>People's Party-Our Slovakia</t>
  </si>
  <si>
    <t>We Are Family</t>
  </si>
  <si>
    <t>Network</t>
  </si>
  <si>
    <t>Alliance of the New Citizen</t>
  </si>
  <si>
    <t>Communist Party of Slovakia</t>
  </si>
  <si>
    <t>Free Forum</t>
  </si>
  <si>
    <t>True Slovak National Party</t>
  </si>
  <si>
    <t>Movement for Democracy</t>
  </si>
  <si>
    <t>Party of Civic Understanding</t>
  </si>
  <si>
    <t>Hungarian Christian Democratic Movement</t>
  </si>
  <si>
    <t>Freedom and Solidarity</t>
  </si>
  <si>
    <t>Bridge</t>
  </si>
  <si>
    <t>Ordinary People</t>
  </si>
  <si>
    <t>Socialist Party of Serbia</t>
  </si>
  <si>
    <t>Serbian Radical Party</t>
  </si>
  <si>
    <t>Serbian Renewal Movement</t>
  </si>
  <si>
    <t>Party of Serbian Unity</t>
  </si>
  <si>
    <t>Democratic Party of Serbia</t>
  </si>
  <si>
    <t>Alliance of Vojvodina Hungarians</t>
  </si>
  <si>
    <t>G17 Plus</t>
  </si>
  <si>
    <t>Liberal Democratic Party</t>
  </si>
  <si>
    <t>Dveri</t>
  </si>
  <si>
    <t>Social Democracy</t>
  </si>
  <si>
    <t>Liberals of Serbia</t>
  </si>
  <si>
    <t>Party of United Pensioners of Serbia</t>
  </si>
  <si>
    <t>Serbia Progressive Party</t>
  </si>
  <si>
    <t>PFS</t>
  </si>
  <si>
    <t>Sammarinese Fascist Party</t>
  </si>
  <si>
    <t>Sammarinese People's Party</t>
  </si>
  <si>
    <t>Sammarinese Socialist Party</t>
  </si>
  <si>
    <t>Sammarinese Democratic Union</t>
  </si>
  <si>
    <t>Unity</t>
  </si>
  <si>
    <t>Communist Party of the Russian Federation</t>
  </si>
  <si>
    <t>Union of Rightist Forces</t>
  </si>
  <si>
    <t>Liberal Democratic Party of Russia</t>
  </si>
  <si>
    <t>Fatherland-All Russia</t>
  </si>
  <si>
    <t>Agrarian Party of Russia</t>
  </si>
  <si>
    <t>Russian Pensioners for Justice Party</t>
  </si>
  <si>
    <t>United Russia</t>
  </si>
  <si>
    <t>Moderland-National Patriotic Union</t>
  </si>
  <si>
    <t>Yabloko</t>
  </si>
  <si>
    <t>Democratic Left Alliance</t>
  </si>
  <si>
    <t>Polish People's Party</t>
  </si>
  <si>
    <t>Democratic Union</t>
  </si>
  <si>
    <t>Freedom Union</t>
  </si>
  <si>
    <t>Christian National Union</t>
  </si>
  <si>
    <t>Centre Agreement</t>
  </si>
  <si>
    <t>Liberal Democratic Congress</t>
  </si>
  <si>
    <t>Peasants' Agreement</t>
  </si>
  <si>
    <t>Solidarity</t>
  </si>
  <si>
    <t>Nonpartisan Bloc for Support of Reforms</t>
  </si>
  <si>
    <t>Coalition for the Renewal of the Republic-Liberty and Hope</t>
  </si>
  <si>
    <t>Together</t>
  </si>
  <si>
    <t>Kukiz'15</t>
  </si>
  <si>
    <t>Modern</t>
  </si>
  <si>
    <t>Polish Beer-Lovers' Party</t>
  </si>
  <si>
    <t>Solidarity Electoral Action</t>
  </si>
  <si>
    <t>Social Democracy of Poland</t>
  </si>
  <si>
    <t>Movement for the Reconstruction of Poland</t>
  </si>
  <si>
    <t>Real Politics Union</t>
  </si>
  <si>
    <t>Palikot´s Movement</t>
  </si>
  <si>
    <t>Conferederation of Independent Poland</t>
  </si>
  <si>
    <t>Labour Union</t>
  </si>
  <si>
    <t>Civic Platform</t>
  </si>
  <si>
    <t>Law and Justice</t>
  </si>
  <si>
    <t>Self-Defence of the Republic of Poland</t>
  </si>
  <si>
    <t>League of Polish Families</t>
  </si>
  <si>
    <t>Radical People's Party</t>
  </si>
  <si>
    <t>Free-minded Liberal Party</t>
  </si>
  <si>
    <t>Social Democratic Labour Party</t>
  </si>
  <si>
    <t>Communist Party of Norway</t>
  </si>
  <si>
    <t>Society Party</t>
  </si>
  <si>
    <t>Liberal People's Party</t>
  </si>
  <si>
    <t>Socialist People's Party</t>
  </si>
  <si>
    <t>Progress Party</t>
  </si>
  <si>
    <t>Socialist Left Party</t>
  </si>
  <si>
    <t>Social Democratic Workers´ Party</t>
  </si>
  <si>
    <t>Anti-Revolutionary Party</t>
  </si>
  <si>
    <t>Christian Historical Union</t>
  </si>
  <si>
    <t>Free-thinking Democratic League</t>
  </si>
  <si>
    <t>Communist Party of The Netherlands</t>
  </si>
  <si>
    <t>People's Party for Freedom and Democracy</t>
  </si>
  <si>
    <t>National Socialist Movement in the Netherlands</t>
  </si>
  <si>
    <t>Pacifist Socialist Party</t>
  </si>
  <si>
    <t>Farmers' Party</t>
  </si>
  <si>
    <t>Democrats 66</t>
  </si>
  <si>
    <t>Democratic Socialists'70</t>
  </si>
  <si>
    <t>Political Party of Radicals</t>
  </si>
  <si>
    <t>Christian Democratic Appeal</t>
  </si>
  <si>
    <t>General Elderly Alliance</t>
  </si>
  <si>
    <t>Liberal Union</t>
  </si>
  <si>
    <t>League of Free Liberals</t>
  </si>
  <si>
    <t>Economic League</t>
  </si>
  <si>
    <t>GreenLeft</t>
  </si>
  <si>
    <t>Pim Fortuyn List</t>
  </si>
  <si>
    <t>ChristianUnion</t>
  </si>
  <si>
    <t>Party for Freedom</t>
  </si>
  <si>
    <t>Catholic People's Party</t>
  </si>
  <si>
    <t>Christian-Democratic People's Party</t>
  </si>
  <si>
    <t>Socialist Party of Moldova</t>
  </si>
  <si>
    <t>Party of the Communist of the Republic of Moldova</t>
  </si>
  <si>
    <t>Democratic Party of Moldova</t>
  </si>
  <si>
    <t>Communist Reformist Party</t>
  </si>
  <si>
    <t>Party of Rebirth and Reconciliation of Moldova</t>
  </si>
  <si>
    <t>Party of Socialist of the Republic of Moldova</t>
  </si>
  <si>
    <t>Democratic Agrarian Party of Moldova</t>
  </si>
  <si>
    <t>Party of Democratic Forces</t>
  </si>
  <si>
    <t>Social Democratic Alliance of Moldova</t>
  </si>
  <si>
    <t>Our Moldova Alliance</t>
  </si>
  <si>
    <t>Liberal Democratic Party of Moldova</t>
  </si>
  <si>
    <t>Nationalist Party</t>
  </si>
  <si>
    <t>Malta Labour Party</t>
  </si>
  <si>
    <t>Christian Workers' Party</t>
  </si>
  <si>
    <t>Democratic Nationalist Party</t>
  </si>
  <si>
    <t>Progressive Constitutionalist Party</t>
  </si>
  <si>
    <t>Internal Macedonian Revolutionary Organization-Democratic Party for Macedonian National Union</t>
  </si>
  <si>
    <t>Social Democratic Union of Macedonia</t>
  </si>
  <si>
    <t>Party of Democratic Prosperity</t>
  </si>
  <si>
    <t>Socialist Party of Macedonia</t>
  </si>
  <si>
    <t>Democratic Party of Albanians</t>
  </si>
  <si>
    <t>Democratic Union for Integration</t>
  </si>
  <si>
    <t>Internal Macedonian Revolutionary Organization-People's Party</t>
  </si>
  <si>
    <t>Movement for All-Macedonian Action</t>
  </si>
  <si>
    <t>Liberal Party of Macedonia</t>
  </si>
  <si>
    <t>Democratic Alternative</t>
  </si>
  <si>
    <t>New Social Democratic Party</t>
  </si>
  <si>
    <t>DG (1)</t>
  </si>
  <si>
    <t>DG (2)</t>
  </si>
  <si>
    <t>LL</t>
  </si>
  <si>
    <t>Christian Social People's Party</t>
  </si>
  <si>
    <t>Luxembourg Socialist Workers´ Party</t>
  </si>
  <si>
    <t>Liberal League</t>
  </si>
  <si>
    <t>Communist Party of Luxembourg</t>
  </si>
  <si>
    <t>Green Alternative Party</t>
  </si>
  <si>
    <t>Green List Ecological Initiative</t>
  </si>
  <si>
    <t>The Greens</t>
  </si>
  <si>
    <t>Radical Left</t>
  </si>
  <si>
    <t>National Independent Union</t>
  </si>
  <si>
    <t>Enroles de Force</t>
  </si>
  <si>
    <t>Action Democratic Reform Party</t>
  </si>
  <si>
    <t>The Left</t>
  </si>
  <si>
    <t>Independent People's Party</t>
  </si>
  <si>
    <t>Popular Independent Movement</t>
  </si>
  <si>
    <t>Party of Independents of the East</t>
  </si>
  <si>
    <t>Independent National Party</t>
  </si>
  <si>
    <t>Radical Socialist Party</t>
  </si>
  <si>
    <t>LKDP</t>
  </si>
  <si>
    <t>Democratic Labour Party of Lithuania</t>
  </si>
  <si>
    <t>Electoral Action of Poles in Lithuania</t>
  </si>
  <si>
    <t>Centre Union of Lithuania</t>
  </si>
  <si>
    <t>Liberal and Centre Union</t>
  </si>
  <si>
    <t>Young Lithuania</t>
  </si>
  <si>
    <t>National Resurrection Party</t>
  </si>
  <si>
    <t>Lithuanian Christian Democratic Party</t>
  </si>
  <si>
    <t>Liberal Union of Lithuania</t>
  </si>
  <si>
    <t>Lithuanian Social Democratic Party</t>
  </si>
  <si>
    <t>Social Democratic Party of Lithuania</t>
  </si>
  <si>
    <t>Sajudis</t>
  </si>
  <si>
    <t>Christian Democratic Union</t>
  </si>
  <si>
    <t>The Way of Courage</t>
  </si>
  <si>
    <t>Homeland Union/Lithuanian Christian Democrats</t>
  </si>
  <si>
    <t>Lithuanian Peasant Party</t>
  </si>
  <si>
    <t>Lithuanian Peasant and Greens Union</t>
  </si>
  <si>
    <t>New Union (Social Liberals)</t>
  </si>
  <si>
    <t>Order and Justice</t>
  </si>
  <si>
    <t>Front</t>
  </si>
  <si>
    <t>Liberal Movement</t>
  </si>
  <si>
    <t>TB/LNNK</t>
  </si>
  <si>
    <t>Latvian Way</t>
  </si>
  <si>
    <t>Harmony for Latvia</t>
  </si>
  <si>
    <t>People's Movement for Latvia</t>
  </si>
  <si>
    <t>National Harmony Party</t>
  </si>
  <si>
    <t>Equal Rights</t>
  </si>
  <si>
    <t>Socialist Party of Latvia</t>
  </si>
  <si>
    <t>For Fatherland and Freedom</t>
  </si>
  <si>
    <t>Latvian National Independence Movement</t>
  </si>
  <si>
    <t>Centre Party Latvian Farmers' Union</t>
  </si>
  <si>
    <t>Democratic Party "Saimnieks"</t>
  </si>
  <si>
    <t>Democratic Centre Part</t>
  </si>
  <si>
    <t>Latvia Unity Party</t>
  </si>
  <si>
    <t>New Party</t>
  </si>
  <si>
    <t>Union of Greens and Farmers</t>
  </si>
  <si>
    <t>For Fatherland and Freedom/LNNK</t>
  </si>
  <si>
    <t>National Alliance</t>
  </si>
  <si>
    <t>For Human Rights in a United Latvia</t>
  </si>
  <si>
    <t>Latvian Social Democratic Workers' Party</t>
  </si>
  <si>
    <t>New Era Party</t>
  </si>
  <si>
    <t>Latvia's First Party</t>
  </si>
  <si>
    <t>For Latvia from the Heart</t>
  </si>
  <si>
    <t>Reform Party</t>
  </si>
  <si>
    <t>Harmony Centre</t>
  </si>
  <si>
    <t>Latvia's First Party/Latvian Way</t>
  </si>
  <si>
    <t>Latvian Social Workers´ Democratic Party</t>
  </si>
  <si>
    <t>Latvian Farmers´ Union</t>
  </si>
  <si>
    <t>Democratic Centre</t>
  </si>
  <si>
    <t>National Union</t>
  </si>
  <si>
    <t>Union of Social Democrats-Mensheviks and Rural Workers</t>
  </si>
  <si>
    <t>Latgalian Christian Peasant and Catholic Party</t>
  </si>
  <si>
    <t>Latgalian Farmer-Labour Party</t>
  </si>
  <si>
    <t>German-Baltic Democratic Party</t>
  </si>
  <si>
    <t>New Farmers-Small Landowners Party</t>
  </si>
  <si>
    <t>Latgalian Democratic Peasant Association</t>
  </si>
  <si>
    <t>Left Trade Unions</t>
  </si>
  <si>
    <t>Democratic Party of Kosovo</t>
  </si>
  <si>
    <t>Democratic League of Kosovo</t>
  </si>
  <si>
    <t>Alliance for the Future of Kosovo</t>
  </si>
  <si>
    <t>New Kosovo Alliance</t>
  </si>
  <si>
    <t>Reformist Party ORA</t>
  </si>
  <si>
    <t>Serbian List for Kosovo and Metohija</t>
  </si>
  <si>
    <t>Civic Initiative for Kosovo</t>
  </si>
  <si>
    <t>Self-Determination</t>
  </si>
  <si>
    <t>Cumann na nGaedheal</t>
  </si>
  <si>
    <t>Fianna Fáil</t>
  </si>
  <si>
    <t>National League Party</t>
  </si>
  <si>
    <t>Sinn Féin (O)</t>
  </si>
  <si>
    <t>Sinn Féin (M)</t>
  </si>
  <si>
    <t>National Centre Party</t>
  </si>
  <si>
    <t>Fianna Gael</t>
  </si>
  <si>
    <t>Clann na Talmhan</t>
  </si>
  <si>
    <t>Clann na Poblachta</t>
  </si>
  <si>
    <t>Workers' Party</t>
  </si>
  <si>
    <t>Progressive Democrats</t>
  </si>
  <si>
    <t>Independence Party</t>
  </si>
  <si>
    <t>Progressive Party</t>
  </si>
  <si>
    <t>People´s Unity Party-Socialist Party</t>
  </si>
  <si>
    <t>National Preservation Party</t>
  </si>
  <si>
    <t>Republican Party</t>
  </si>
  <si>
    <t>People´s Alliance</t>
  </si>
  <si>
    <t>Union of Liberals and Leftists</t>
  </si>
  <si>
    <t>Citizens' Party</t>
  </si>
  <si>
    <t>Alliance of Social Democrats</t>
  </si>
  <si>
    <t>Women List</t>
  </si>
  <si>
    <t>National Awakening</t>
  </si>
  <si>
    <t>Social Democratic Alliance</t>
  </si>
  <si>
    <t>Citizens' Movement</t>
  </si>
  <si>
    <t>Icelandic Movement-Living Country</t>
  </si>
  <si>
    <t>Left-Green Movement</t>
  </si>
  <si>
    <t>Bright Future</t>
  </si>
  <si>
    <t>Pirate Party</t>
  </si>
  <si>
    <t>Dawn</t>
  </si>
  <si>
    <t>Households Party</t>
  </si>
  <si>
    <t>Hungarian Socialist Party</t>
  </si>
  <si>
    <t>Alliance of Free Democrats</t>
  </si>
  <si>
    <t>Hungarian Democratic Forum</t>
  </si>
  <si>
    <t>Independent Smallholders' Party</t>
  </si>
  <si>
    <t>Fidesz-Hungarian Civic Alliance</t>
  </si>
  <si>
    <t>Christian Democratic People's Party</t>
  </si>
  <si>
    <t>Agrarian Alliance</t>
  </si>
  <si>
    <t>Hungarian Socialist Workers' Party</t>
  </si>
  <si>
    <t>Hungarian Justice and Life Party</t>
  </si>
  <si>
    <t>Hungarian Social Democratic Party</t>
  </si>
  <si>
    <t>Politics Can Be Different</t>
  </si>
  <si>
    <t>Potami</t>
  </si>
  <si>
    <t>EDIK</t>
  </si>
  <si>
    <t>EK-ND</t>
  </si>
  <si>
    <t>Panhellenic Socialist Movement</t>
  </si>
  <si>
    <t>Communist Party of Greece</t>
  </si>
  <si>
    <t>Centre Union-New Forces</t>
  </si>
  <si>
    <t>Democratic Social Movement</t>
  </si>
  <si>
    <t>Political Spring</t>
  </si>
  <si>
    <t>National Alignment</t>
  </si>
  <si>
    <t>Union of Centrists</t>
  </si>
  <si>
    <t>Left and Progress Coalition</t>
  </si>
  <si>
    <t>Coalition of the Radical Left</t>
  </si>
  <si>
    <t>Independent Greeks</t>
  </si>
  <si>
    <t>Golden Dawn</t>
  </si>
  <si>
    <t>Democratic Left</t>
  </si>
  <si>
    <t>The River</t>
  </si>
  <si>
    <t>Popular Orthodox Rally</t>
  </si>
  <si>
    <t>Freethinkers' Party</t>
  </si>
  <si>
    <t>Agricultural Labour Party</t>
  </si>
  <si>
    <t>Agrarian Party</t>
  </si>
  <si>
    <t>Independent Royal Supporters</t>
  </si>
  <si>
    <t>National Radical Party</t>
  </si>
  <si>
    <t>A'90/DG</t>
  </si>
  <si>
    <t>Christian Social Union</t>
  </si>
  <si>
    <t>German Party</t>
  </si>
  <si>
    <t>Alternative for Germany</t>
  </si>
  <si>
    <t>National Democratic Party</t>
  </si>
  <si>
    <t>Bavaria Party</t>
  </si>
  <si>
    <t>All-German Bloc/League of Expellees and Deprived of Rights</t>
  </si>
  <si>
    <t>Communist Party of Germany</t>
  </si>
  <si>
    <t>Party of Democratic Socialism</t>
  </si>
  <si>
    <t>Social Democratic Party of Germany</t>
  </si>
  <si>
    <t>German Democratic Party</t>
  </si>
  <si>
    <t>German National People´s Party</t>
  </si>
  <si>
    <t>Independent Social Democratic Party of Germany</t>
  </si>
  <si>
    <t>German People´s Party</t>
  </si>
  <si>
    <t>Bavarian People's Party</t>
  </si>
  <si>
    <t>Reich Party of the German Middle Class</t>
  </si>
  <si>
    <t>National Socialist German Workers' Party</t>
  </si>
  <si>
    <t>Christian-National Peasants' and Farmers' Party</t>
  </si>
  <si>
    <t>United National Movement</t>
  </si>
  <si>
    <t>National Forum</t>
  </si>
  <si>
    <t>Georgian Dream-Democratic Georgia</t>
  </si>
  <si>
    <t>New Rights Party</t>
  </si>
  <si>
    <t>Democratic Union for Revival</t>
  </si>
  <si>
    <t>Freedom Movement</t>
  </si>
  <si>
    <t>Georgian Labour Party</t>
  </si>
  <si>
    <t>Christian-Democratic Movement</t>
  </si>
  <si>
    <t>Republican Party of Georgia</t>
  </si>
  <si>
    <t>French Communist Party</t>
  </si>
  <si>
    <t>Unified Socialist Party</t>
  </si>
  <si>
    <t>French Section of the Workers´ International</t>
  </si>
  <si>
    <t>National Front</t>
  </si>
  <si>
    <t>Rally for the Republic</t>
  </si>
  <si>
    <t>Union for French Democracy</t>
  </si>
  <si>
    <t>European Ecology-The Greens</t>
  </si>
  <si>
    <t>Democratic Movement</t>
  </si>
  <si>
    <t>Ecology Generation</t>
  </si>
  <si>
    <t>RPR (UDR)</t>
  </si>
  <si>
    <t>EELV (LV)</t>
  </si>
  <si>
    <t>Popular Republican Movement</t>
  </si>
  <si>
    <t>Republican Party of Liberty</t>
  </si>
  <si>
    <t>Gaullist Union</t>
  </si>
  <si>
    <t>Union and French Maternity</t>
  </si>
  <si>
    <t>National Centre of Independents and Peasants</t>
  </si>
  <si>
    <t>National Centre of Social Republicans</t>
  </si>
  <si>
    <t>Republicans</t>
  </si>
  <si>
    <t>Conservatives</t>
  </si>
  <si>
    <t>Socialists</t>
  </si>
  <si>
    <t>People's Liberal Action</t>
  </si>
  <si>
    <t>Radical Socialists</t>
  </si>
  <si>
    <t>Moderate Republicans</t>
  </si>
  <si>
    <t>Radicals</t>
  </si>
  <si>
    <t>Independent Socialists</t>
  </si>
  <si>
    <t>Nationalists</t>
  </si>
  <si>
    <t>Republican Federation</t>
  </si>
  <si>
    <t>Democratic Republican Alliance</t>
  </si>
  <si>
    <t>Boulangists</t>
  </si>
  <si>
    <t>Radical Independents</t>
  </si>
  <si>
    <t>Republican-Socialist Party</t>
  </si>
  <si>
    <t>Popular Democratic Party</t>
  </si>
  <si>
    <t>Kesk.</t>
  </si>
  <si>
    <t>Social Democratic Party of Finland</t>
  </si>
  <si>
    <t>Finnish People's Democratic League</t>
  </si>
  <si>
    <t>Centre Party of Finland</t>
  </si>
  <si>
    <t>National Coalition Party</t>
  </si>
  <si>
    <t>Swedish People's Party</t>
  </si>
  <si>
    <t>National Progressive Party</t>
  </si>
  <si>
    <t>People's Party of Finland</t>
  </si>
  <si>
    <t>Social Democratic Union of Workers and Smallholders</t>
  </si>
  <si>
    <t>Finnish Rural Party</t>
  </si>
  <si>
    <t>Green League</t>
  </si>
  <si>
    <t>Left Alliance</t>
  </si>
  <si>
    <t>Finns Party</t>
  </si>
  <si>
    <t>KE (NP)</t>
  </si>
  <si>
    <t>SKP (SSTP/STPV)</t>
  </si>
  <si>
    <t>Agrarian League</t>
  </si>
  <si>
    <t>Swedish People´s Party</t>
  </si>
  <si>
    <t>Communist Party of Finland</t>
  </si>
  <si>
    <t>EKP</t>
  </si>
  <si>
    <t>Estonia Labour Party</t>
  </si>
  <si>
    <t>Farmers' Assemblies</t>
  </si>
  <si>
    <t>Estonian People's Party</t>
  </si>
  <si>
    <t>Communist Party of Estonia</t>
  </si>
  <si>
    <t>German-Baltic Party</t>
  </si>
  <si>
    <t>Russian National Association in Estonia</t>
  </si>
  <si>
    <t>Estonian Socialist Workers' Party</t>
  </si>
  <si>
    <t>Settlers' Party</t>
  </si>
  <si>
    <t>Union of Settlers and Smallholders</t>
  </si>
  <si>
    <t>Estonian Independent Socialist Workers' Party</t>
  </si>
  <si>
    <t>Venstre</t>
  </si>
  <si>
    <t>Right</t>
  </si>
  <si>
    <t>Danish Social Liberal Party</t>
  </si>
  <si>
    <t>Conservative People´s Party</t>
  </si>
  <si>
    <t>Communist Party of Denmark</t>
  </si>
  <si>
    <t>Justice Party of Denmark</t>
  </si>
  <si>
    <t>Danish Unity</t>
  </si>
  <si>
    <t>Independent Party</t>
  </si>
  <si>
    <t>Left Socialists</t>
  </si>
  <si>
    <t>Centre Democrats</t>
  </si>
  <si>
    <t>Red-Green Alliance</t>
  </si>
  <si>
    <t>Danish People's Party</t>
  </si>
  <si>
    <t>The Alternative</t>
  </si>
  <si>
    <t>Liberal Alliance</t>
  </si>
  <si>
    <t>Civic Democratic Party</t>
  </si>
  <si>
    <t>Czech Social Democratic Party</t>
  </si>
  <si>
    <t>Communist Party of Bohemia and Moravia</t>
  </si>
  <si>
    <t>Christian and Democratic Union-Czechoslovak People's Party</t>
  </si>
  <si>
    <t>Coalition for Republic-Republican Party of Czechoslovakia</t>
  </si>
  <si>
    <t>Public Affairs</t>
  </si>
  <si>
    <t>Pensioners for Life Security</t>
  </si>
  <si>
    <t>Civic Movement</t>
  </si>
  <si>
    <t>ANO 2011</t>
  </si>
  <si>
    <t>Party of Civic Rights</t>
  </si>
  <si>
    <t>Sovereignty</t>
  </si>
  <si>
    <t>Dawn of Direct Democracy</t>
  </si>
  <si>
    <t>Movement for Autonomous Democracy-Party of Moravia and Silesia</t>
  </si>
  <si>
    <t>Czechoslovak Businessmens', Traders' and Farmers' Party</t>
  </si>
  <si>
    <t>Civic Democratic Alliance</t>
  </si>
  <si>
    <t>TOP 09</t>
  </si>
  <si>
    <t>Czechoslovak Social Democratic Workers´ Party</t>
  </si>
  <si>
    <t>Czechoslovak People's Party</t>
  </si>
  <si>
    <t>German Social Democratic Workers Party</t>
  </si>
  <si>
    <t>Republican Party of Agricultural and Smallholder People</t>
  </si>
  <si>
    <t>Czechoslovak National Social Party</t>
  </si>
  <si>
    <t>Czechoslovak National Democracy</t>
  </si>
  <si>
    <t>German National Socialist Workers' Party</t>
  </si>
  <si>
    <t>Slovak National and Peasant Party</t>
  </si>
  <si>
    <t>Farmers' League</t>
  </si>
  <si>
    <t>German Christian Social People's Party</t>
  </si>
  <si>
    <t>Provincial Christian-Socialist Party</t>
  </si>
  <si>
    <t>Czechoslovak Traders' Party</t>
  </si>
  <si>
    <t>Slovak People's Party</t>
  </si>
  <si>
    <t>Sudeten German Party</t>
  </si>
  <si>
    <t>Communist Party of Czechoslovakia</t>
  </si>
  <si>
    <t>German Nationalist Party</t>
  </si>
  <si>
    <t>NEO</t>
  </si>
  <si>
    <t>Evroko</t>
  </si>
  <si>
    <t>Progressive Party of Working People</t>
  </si>
  <si>
    <t>Democratic Rally</t>
  </si>
  <si>
    <t>Movement for Social Democracy</t>
  </si>
  <si>
    <t>United Democrats</t>
  </si>
  <si>
    <t>New Horizons</t>
  </si>
  <si>
    <t>European Party</t>
  </si>
  <si>
    <t>Social Democratic Party of Croatia</t>
  </si>
  <si>
    <t>Croatian Democratic Union</t>
  </si>
  <si>
    <t>Croatian Peasant Party</t>
  </si>
  <si>
    <t>Party of Labour and Solidarity</t>
  </si>
  <si>
    <t>Human Blockade</t>
  </si>
  <si>
    <t>Croatian Party of Rights</t>
  </si>
  <si>
    <t>Croatian Pensioners' Party</t>
  </si>
  <si>
    <t>Croatian Social Liberal Party</t>
  </si>
  <si>
    <t>Croatian People's Party</t>
  </si>
  <si>
    <t>Croatian Labourists-Labour Party</t>
  </si>
  <si>
    <t>Bridge of Independent Lists</t>
  </si>
  <si>
    <t>Union of Democratic Forces</t>
  </si>
  <si>
    <t>Bulgarian Socialist Party</t>
  </si>
  <si>
    <t>Movement for Rights and Freedoms</t>
  </si>
  <si>
    <t>Bulgarian Business Bloc</t>
  </si>
  <si>
    <t>Bulgarian Agrarian National Union-United</t>
  </si>
  <si>
    <t>Bulgarian Agrarian People's Union "Nikola Petrov"</t>
  </si>
  <si>
    <t>Agrarian People's Union</t>
  </si>
  <si>
    <t>Union of Democratic Forces-Centre</t>
  </si>
  <si>
    <t>National Front for the Salvation of Bulgaria</t>
  </si>
  <si>
    <t>Bulgaria without Censorship</t>
  </si>
  <si>
    <t>Alternative for Bulgarian Revival</t>
  </si>
  <si>
    <t>Bulgaria for Citizens Movement</t>
  </si>
  <si>
    <t>Order, Law and Justice</t>
  </si>
  <si>
    <t>Liberal Initiative for Democratic European Development</t>
  </si>
  <si>
    <t>Simeon II Coalition</t>
  </si>
  <si>
    <t>Bulgarian Euro-Left</t>
  </si>
  <si>
    <t>Democratic Alternative for the Republic</t>
  </si>
  <si>
    <t>National Movement for Stability and Progress</t>
  </si>
  <si>
    <t>National Union Attack</t>
  </si>
  <si>
    <t>Democrats for a Strong Bulgaria</t>
  </si>
  <si>
    <t>Citizens for European Development of Bulgaria</t>
  </si>
  <si>
    <t>IMRO-Bulgarian National Movement</t>
  </si>
  <si>
    <t>EPL</t>
  </si>
  <si>
    <t>EKo</t>
  </si>
  <si>
    <t>Estonian Pensioners' Union</t>
  </si>
  <si>
    <t>Estonian Citizen</t>
  </si>
  <si>
    <t>PSIUP</t>
  </si>
  <si>
    <t>SEL</t>
  </si>
  <si>
    <t>M5S</t>
  </si>
  <si>
    <t>UDSM</t>
  </si>
  <si>
    <t>NPS</t>
  </si>
  <si>
    <t>PdD</t>
  </si>
  <si>
    <t>PPDS (PCS)</t>
  </si>
  <si>
    <t>PSU (PSDIS)</t>
  </si>
  <si>
    <t>PSDS (DS)</t>
  </si>
  <si>
    <t>DdC</t>
  </si>
  <si>
    <t>RCS</t>
  </si>
  <si>
    <t>VU (CVV)</t>
  </si>
  <si>
    <t>PS (BWP)</t>
  </si>
  <si>
    <t>VNV (FP)</t>
  </si>
  <si>
    <t>CD&amp;V (CSV/KP)</t>
  </si>
  <si>
    <t>Open VLD (PLP/LP)</t>
  </si>
  <si>
    <t>Groen (Agalev)</t>
  </si>
  <si>
    <t>PCB</t>
  </si>
  <si>
    <t>cdH (PSC)</t>
  </si>
  <si>
    <t>MR</t>
  </si>
  <si>
    <t>DéFI</t>
  </si>
  <si>
    <t>VBC</t>
  </si>
  <si>
    <t>Catholic D.</t>
  </si>
  <si>
    <t>DJB</t>
  </si>
  <si>
    <t>Enough is Enough</t>
  </si>
  <si>
    <t>ELAM</t>
  </si>
  <si>
    <t>National Popular Front</t>
  </si>
  <si>
    <t>SYPOL</t>
  </si>
  <si>
    <t>KA</t>
  </si>
  <si>
    <t>Citizens' Alliance</t>
  </si>
  <si>
    <t>Solidarity Movement</t>
  </si>
  <si>
    <t>KOSP</t>
  </si>
  <si>
    <t>Movement of Ecologist-Citizens' Cooperation</t>
  </si>
  <si>
    <t>APG</t>
  </si>
  <si>
    <t>Alliance of Patriots</t>
  </si>
  <si>
    <t>TD</t>
  </si>
  <si>
    <t>Free Democrats</t>
  </si>
  <si>
    <t>DM-ES</t>
  </si>
  <si>
    <t>Democratic Movement-United Georgia</t>
  </si>
  <si>
    <t>LCP</t>
  </si>
  <si>
    <t>DCG</t>
  </si>
  <si>
    <t>USR</t>
  </si>
  <si>
    <t>ALDE</t>
  </si>
  <si>
    <t>PMP</t>
  </si>
  <si>
    <t>MD-SI</t>
  </si>
  <si>
    <t>Besa</t>
  </si>
  <si>
    <t>Besa Movement</t>
  </si>
  <si>
    <t>PDIU</t>
  </si>
  <si>
    <t>Party of Justice, Integration and Unity</t>
  </si>
  <si>
    <t>PILZ</t>
  </si>
  <si>
    <t>Peter Pilz List</t>
  </si>
  <si>
    <t>Volya</t>
  </si>
  <si>
    <t>STAN</t>
  </si>
  <si>
    <t>CPS</t>
  </si>
  <si>
    <t>Czech Pirate Party</t>
  </si>
  <si>
    <t>Mayors and Independents</t>
  </si>
  <si>
    <t>Freedom and Direct Democracy</t>
  </si>
  <si>
    <t>MRG</t>
  </si>
  <si>
    <t>50PLUS</t>
  </si>
  <si>
    <t>50+</t>
  </si>
  <si>
    <t>Party of the Animals</t>
  </si>
  <si>
    <t>PvdD</t>
  </si>
  <si>
    <t>M</t>
  </si>
  <si>
    <t>REM</t>
  </si>
  <si>
    <t>Forward!</t>
  </si>
  <si>
    <t>France Unbowed</t>
  </si>
  <si>
    <t>UDI</t>
  </si>
  <si>
    <t>Union of Democrats and Independents</t>
  </si>
  <si>
    <t>LR</t>
  </si>
  <si>
    <t>The Republicans</t>
  </si>
  <si>
    <t>MM</t>
  </si>
  <si>
    <t>Momentum Movement</t>
  </si>
  <si>
    <t>Democratic Coalition</t>
  </si>
  <si>
    <t>LMS</t>
  </si>
  <si>
    <t>List of Mariam Sarec</t>
  </si>
  <si>
    <t>PPL</t>
  </si>
  <si>
    <t>Pirate Party of Luxembourg</t>
  </si>
  <si>
    <t>New Conservative Party</t>
  </si>
  <si>
    <t>Who Owns the State?</t>
  </si>
  <si>
    <t>KPV</t>
  </si>
  <si>
    <t>JKP</t>
  </si>
  <si>
    <t>KP!</t>
  </si>
  <si>
    <t>Movement For!</t>
  </si>
  <si>
    <t>FdI</t>
  </si>
  <si>
    <t>EKE</t>
  </si>
  <si>
    <t>National Party of Greece</t>
  </si>
  <si>
    <t>KEF</t>
  </si>
  <si>
    <t>DSKE</t>
  </si>
  <si>
    <t>Democratic Socialist Party of Greece</t>
  </si>
  <si>
    <t>KVF</t>
  </si>
  <si>
    <t>Party of Venizelist Liberals</t>
  </si>
  <si>
    <t>ZLN</t>
  </si>
  <si>
    <t>Popular National Union</t>
  </si>
  <si>
    <t>BMN</t>
  </si>
  <si>
    <t>Bloc of National Minorities</t>
  </si>
  <si>
    <t>PSL Piast</t>
  </si>
  <si>
    <t>Polish People's Party "Piast"</t>
  </si>
  <si>
    <t>PSL Wyzwolenie</t>
  </si>
  <si>
    <t>Polish People's party "Wyzwolenie"</t>
  </si>
  <si>
    <t>Polish Socialist Party</t>
  </si>
  <si>
    <t>NPR</t>
  </si>
  <si>
    <t>National Workers' Party</t>
  </si>
  <si>
    <t>NRS</t>
  </si>
  <si>
    <t>HPSS</t>
  </si>
  <si>
    <t>KPJ</t>
  </si>
  <si>
    <t>Communist Party</t>
  </si>
  <si>
    <t>JMO</t>
  </si>
  <si>
    <t>Yugoslav Muslim Organization</t>
  </si>
  <si>
    <t>IL</t>
  </si>
  <si>
    <t>KNZ</t>
  </si>
  <si>
    <t>Jewish National Council</t>
  </si>
  <si>
    <t>Landworkers'  Party</t>
  </si>
  <si>
    <t>HSNS</t>
  </si>
  <si>
    <t>Croatian and Slovenian People's Party</t>
  </si>
  <si>
    <t>Croatian Peasant People's Party</t>
  </si>
  <si>
    <t>PdO</t>
  </si>
  <si>
    <t>Party of Order</t>
  </si>
  <si>
    <t>LM</t>
  </si>
  <si>
    <t>The Mountain</t>
  </si>
  <si>
    <t>Sor Party</t>
  </si>
  <si>
    <t>Our Party</t>
  </si>
  <si>
    <t>Estonia 200</t>
  </si>
  <si>
    <t>Greek Soluion</t>
  </si>
  <si>
    <t>MeRA25</t>
  </si>
  <si>
    <t>TV</t>
  </si>
  <si>
    <t>2019A</t>
  </si>
  <si>
    <t>2019N</t>
  </si>
  <si>
    <t>Vox</t>
  </si>
  <si>
    <t>Catalan Republican Left</t>
  </si>
  <si>
    <t>E200</t>
  </si>
  <si>
    <t>Dignity and Truth Party</t>
  </si>
  <si>
    <t>PPAD</t>
  </si>
  <si>
    <t>PAN</t>
  </si>
  <si>
    <t>DML</t>
  </si>
  <si>
    <t>EL</t>
  </si>
  <si>
    <t>European Realistic Disobedience Front</t>
  </si>
  <si>
    <t>DPMS</t>
  </si>
  <si>
    <t>M!</t>
  </si>
  <si>
    <t>Homeland Movement</t>
  </si>
  <si>
    <t>We Can!</t>
  </si>
  <si>
    <t>NSD</t>
  </si>
  <si>
    <t>URA</t>
  </si>
  <si>
    <t>Alliance for Albanians</t>
  </si>
  <si>
    <t>Levica</t>
  </si>
  <si>
    <t>SPAS</t>
  </si>
  <si>
    <t>Serbian Patriotic Alliance</t>
  </si>
  <si>
    <t>For the People</t>
  </si>
  <si>
    <t>Progressive Slovakia</t>
  </si>
  <si>
    <t>Good Choice</t>
  </si>
  <si>
    <t>DV</t>
  </si>
  <si>
    <t>Lituanian Centre Party</t>
  </si>
  <si>
    <t>Freedom Party</t>
  </si>
  <si>
    <t>Social Democratic Labour Party of Lithuania</t>
  </si>
  <si>
    <t>LSDDP</t>
  </si>
  <si>
    <t>AUR</t>
  </si>
  <si>
    <t>PRO</t>
  </si>
  <si>
    <t>ES</t>
  </si>
  <si>
    <t>European Georgia</t>
  </si>
  <si>
    <t>Lelo for Georgia</t>
  </si>
  <si>
    <t>Stragegy Aghmashenebeli</t>
  </si>
  <si>
    <t>Lelo</t>
  </si>
  <si>
    <t>SA</t>
  </si>
  <si>
    <t>KP</t>
  </si>
  <si>
    <t>BHK</t>
  </si>
  <si>
    <t>"BK"</t>
  </si>
  <si>
    <t>HHK</t>
  </si>
  <si>
    <t>ARF</t>
  </si>
  <si>
    <t>Czechoslovak Social Democracy</t>
  </si>
  <si>
    <t>Active Citizens</t>
  </si>
  <si>
    <t>Democratic Alignment</t>
  </si>
  <si>
    <t>Prisaha</t>
  </si>
  <si>
    <t>Oath</t>
  </si>
  <si>
    <t>Icelandic Socialist Party</t>
  </si>
  <si>
    <t>SFI</t>
  </si>
  <si>
    <t>DpL</t>
  </si>
  <si>
    <t>PAS</t>
  </si>
  <si>
    <t>Party of Action and Solidarity</t>
  </si>
  <si>
    <t>R</t>
  </si>
  <si>
    <t>Red Party</t>
  </si>
  <si>
    <t>Forum for Democracy</t>
  </si>
  <si>
    <t>FvD</t>
  </si>
  <si>
    <t>2021A</t>
  </si>
  <si>
    <t>2021J</t>
  </si>
  <si>
    <t>2021N</t>
  </si>
  <si>
    <t>ITN</t>
  </si>
  <si>
    <t>There Is Such a People</t>
  </si>
  <si>
    <t>IBG-NI</t>
  </si>
  <si>
    <t>Stand Up.BG! We are coming!</t>
  </si>
  <si>
    <t>Revival</t>
  </si>
  <si>
    <t>PP</t>
  </si>
  <si>
    <t>We Continute the Change</t>
  </si>
  <si>
    <t>DaB!</t>
  </si>
  <si>
    <t>Yes, Bulgaria!</t>
  </si>
  <si>
    <t>MHM</t>
  </si>
  <si>
    <t>MKKP</t>
  </si>
  <si>
    <t>Our Homeland Movement</t>
  </si>
  <si>
    <t>Hungarian Two Tailed Dog Party</t>
  </si>
  <si>
    <t>Latvian Association of Regions</t>
  </si>
  <si>
    <t>For Stability!</t>
  </si>
  <si>
    <t>Latvia First</t>
  </si>
  <si>
    <t>Sovereign Power</t>
  </si>
  <si>
    <t>The Progressives</t>
  </si>
  <si>
    <t>CHEGA</t>
  </si>
  <si>
    <t>S!</t>
  </si>
  <si>
    <t>LPV</t>
  </si>
  <si>
    <t>P21</t>
  </si>
  <si>
    <t>Platform 21</t>
  </si>
  <si>
    <t>BV</t>
  </si>
  <si>
    <t>Bulgarian Rise</t>
  </si>
  <si>
    <t>NB</t>
  </si>
  <si>
    <t>New Right</t>
  </si>
  <si>
    <t>DD</t>
  </si>
  <si>
    <t>Denmark Democrats</t>
  </si>
  <si>
    <t>Moderates</t>
  </si>
  <si>
    <t>GS</t>
  </si>
  <si>
    <t>SSZ</t>
  </si>
  <si>
    <t>Serbian Party Oathkeepers</t>
  </si>
  <si>
    <t>NDB</t>
  </si>
  <si>
    <t>Do not Let Belgrade down</t>
  </si>
  <si>
    <t>R!</t>
  </si>
  <si>
    <t>Reconquete</t>
  </si>
  <si>
    <t>Az</t>
  </si>
  <si>
    <t>ACCIO</t>
  </si>
  <si>
    <t>AE</t>
  </si>
  <si>
    <t>Concordia</t>
  </si>
  <si>
    <t>Voice-Social Democracy</t>
  </si>
  <si>
    <t>HLAS-SD</t>
  </si>
  <si>
    <t>Republic</t>
  </si>
  <si>
    <t>DM</t>
  </si>
  <si>
    <t>The Centre</t>
  </si>
  <si>
    <t>NL</t>
  </si>
  <si>
    <t>New Left</t>
  </si>
  <si>
    <t>PES!</t>
  </si>
  <si>
    <t>NSC</t>
  </si>
  <si>
    <t>New Social Contract</t>
  </si>
  <si>
    <t>Farmer-Citizen Movement</t>
  </si>
  <si>
    <t>2023M</t>
  </si>
  <si>
    <t>2023J</t>
  </si>
  <si>
    <t>Victory</t>
  </si>
  <si>
    <t>Niki</t>
  </si>
  <si>
    <t>Spartans</t>
  </si>
  <si>
    <t>Course of Freedom</t>
  </si>
  <si>
    <t>PE</t>
  </si>
  <si>
    <t>MI-GIN</t>
  </si>
  <si>
    <t>We-The Voice from the People</t>
  </si>
  <si>
    <t>Independent Ireland</t>
  </si>
  <si>
    <t>II</t>
  </si>
  <si>
    <t>Aontú</t>
  </si>
  <si>
    <t>Reform UK</t>
  </si>
  <si>
    <t>Reform</t>
  </si>
  <si>
    <t>Focus</t>
  </si>
  <si>
    <t>Fokus</t>
  </si>
  <si>
    <t>LIVRE</t>
  </si>
  <si>
    <t>SOS</t>
  </si>
  <si>
    <t>POT</t>
  </si>
  <si>
    <t>SENS</t>
  </si>
  <si>
    <t>DEMOS</t>
  </si>
  <si>
    <t>Libera</t>
  </si>
  <si>
    <t>PPNA</t>
  </si>
  <si>
    <t>DSVL</t>
  </si>
  <si>
    <t>Dawn of Nemunas</t>
  </si>
  <si>
    <t>Union of Democrats "For Lithuania"</t>
  </si>
  <si>
    <t>ZNAM</t>
  </si>
  <si>
    <t>For Our Macedonia</t>
  </si>
  <si>
    <t>ASH</t>
  </si>
  <si>
    <t>AA</t>
  </si>
  <si>
    <t>Alliance for Albanians (Taravari split)</t>
  </si>
  <si>
    <t>Velichie</t>
  </si>
  <si>
    <t>Greatness</t>
  </si>
  <si>
    <t>2024J</t>
  </si>
  <si>
    <t>2024O</t>
  </si>
  <si>
    <t>DPS-D</t>
  </si>
  <si>
    <t>DPS-Dogan</t>
  </si>
  <si>
    <t>MECh</t>
  </si>
  <si>
    <t>Morality, Unity, Honor</t>
  </si>
  <si>
    <t>UXD</t>
  </si>
  <si>
    <t>Union of the Far-right</t>
  </si>
  <si>
    <t>Horizons</t>
  </si>
  <si>
    <t>HOR</t>
  </si>
  <si>
    <t>EPD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</si>
</sst>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18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/>
    </xf>
    <xf numFmtId="164" fontId="0" fillId="0" borderId="0" xfId="0" applyNumberFormat="1"/>
    <xf numFmtId="0" fontId="15" fillId="0" borderId="0" xfId="0" applyFont="1"/>
    <xf numFmtId="1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14" fillId="0" borderId="0" xfId="0" applyFont="1" applyAlignment="1">
      <alignment horizontal="center" vertical="center" wrapText="1"/>
    </xf>
    <xf numFmtId="0" fontId="21" fillId="0" borderId="0" xfId="0" applyFont="1"/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3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518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8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2131" builtinId="9" hidden="1"/>
    <cellStyle name="Followed Hyperlink" xfId="2133" builtinId="9" hidden="1"/>
    <cellStyle name="Followed Hyperlink" xfId="2135" builtinId="9" hidden="1"/>
    <cellStyle name="Followed Hyperlink" xfId="2137" builtinId="9" hidden="1"/>
    <cellStyle name="Followed Hyperlink" xfId="2139" builtinId="9" hidden="1"/>
    <cellStyle name="Followed Hyperlink" xfId="2141" builtinId="9" hidden="1"/>
    <cellStyle name="Followed Hyperlink" xfId="2143" builtinId="9" hidden="1"/>
    <cellStyle name="Followed Hyperlink" xfId="2145" builtinId="9" hidden="1"/>
    <cellStyle name="Followed Hyperlink" xfId="2147" builtinId="9" hidden="1"/>
    <cellStyle name="Followed Hyperlink" xfId="2149" builtinId="9" hidden="1"/>
    <cellStyle name="Followed Hyperlink" xfId="2151" builtinId="9" hidden="1"/>
    <cellStyle name="Followed Hyperlink" xfId="2153" builtinId="9" hidden="1"/>
    <cellStyle name="Followed Hyperlink" xfId="2155" builtinId="9" hidden="1"/>
    <cellStyle name="Followed Hyperlink" xfId="2157" builtinId="9" hidden="1"/>
    <cellStyle name="Followed Hyperlink" xfId="2159" builtinId="9" hidden="1"/>
    <cellStyle name="Followed Hyperlink" xfId="2161" builtinId="9" hidden="1"/>
    <cellStyle name="Followed Hyperlink" xfId="2163" builtinId="9" hidden="1"/>
    <cellStyle name="Followed Hyperlink" xfId="2165" builtinId="9" hidden="1"/>
    <cellStyle name="Followed Hyperlink" xfId="2167" builtinId="9" hidden="1"/>
    <cellStyle name="Followed Hyperlink" xfId="2169" builtinId="9" hidden="1"/>
    <cellStyle name="Followed Hyperlink" xfId="2171" builtinId="9" hidden="1"/>
    <cellStyle name="Followed Hyperlink" xfId="2173" builtinId="9" hidden="1"/>
    <cellStyle name="Followed Hyperlink" xfId="2175" builtinId="9" hidden="1"/>
    <cellStyle name="Followed Hyperlink" xfId="2177" builtinId="9" hidden="1"/>
    <cellStyle name="Followed Hyperlink" xfId="2179" builtinId="9" hidden="1"/>
    <cellStyle name="Followed Hyperlink" xfId="2181" builtinId="9" hidden="1"/>
    <cellStyle name="Followed Hyperlink" xfId="2183" builtinId="9" hidden="1"/>
    <cellStyle name="Followed Hyperlink" xfId="2185" builtinId="9" hidden="1"/>
    <cellStyle name="Followed Hyperlink" xfId="2187" builtinId="9" hidden="1"/>
    <cellStyle name="Followed Hyperlink" xfId="2189" builtinId="9" hidden="1"/>
    <cellStyle name="Followed Hyperlink" xfId="2191" builtinId="9" hidden="1"/>
    <cellStyle name="Followed Hyperlink" xfId="2193" builtinId="9" hidden="1"/>
    <cellStyle name="Followed Hyperlink" xfId="2195" builtinId="9" hidden="1"/>
    <cellStyle name="Followed Hyperlink" xfId="2197" builtinId="9" hidden="1"/>
    <cellStyle name="Followed Hyperlink" xfId="2199" builtinId="9" hidden="1"/>
    <cellStyle name="Followed Hyperlink" xfId="2201" builtinId="9" hidden="1"/>
    <cellStyle name="Followed Hyperlink" xfId="2203" builtinId="9" hidden="1"/>
    <cellStyle name="Followed Hyperlink" xfId="2205" builtinId="9" hidden="1"/>
    <cellStyle name="Followed Hyperlink" xfId="2207" builtinId="9" hidden="1"/>
    <cellStyle name="Followed Hyperlink" xfId="2209" builtinId="9" hidden="1"/>
    <cellStyle name="Followed Hyperlink" xfId="2211" builtinId="9" hidden="1"/>
    <cellStyle name="Followed Hyperlink" xfId="2213" builtinId="9" hidden="1"/>
    <cellStyle name="Followed Hyperlink" xfId="2215" builtinId="9" hidden="1"/>
    <cellStyle name="Followed Hyperlink" xfId="2217" builtinId="9" hidden="1"/>
    <cellStyle name="Followed Hyperlink" xfId="2219" builtinId="9" hidden="1"/>
    <cellStyle name="Followed Hyperlink" xfId="2221" builtinId="9" hidden="1"/>
    <cellStyle name="Followed Hyperlink" xfId="2223" builtinId="9" hidden="1"/>
    <cellStyle name="Followed Hyperlink" xfId="2225" builtinId="9" hidden="1"/>
    <cellStyle name="Followed Hyperlink" xfId="2227" builtinId="9" hidden="1"/>
    <cellStyle name="Followed Hyperlink" xfId="2229" builtinId="9" hidden="1"/>
    <cellStyle name="Followed Hyperlink" xfId="2231" builtinId="9" hidden="1"/>
    <cellStyle name="Followed Hyperlink" xfId="2233" builtinId="9" hidden="1"/>
    <cellStyle name="Followed Hyperlink" xfId="2235" builtinId="9" hidden="1"/>
    <cellStyle name="Followed Hyperlink" xfId="2237" builtinId="9" hidden="1"/>
    <cellStyle name="Followed Hyperlink" xfId="2239" builtinId="9" hidden="1"/>
    <cellStyle name="Followed Hyperlink" xfId="2241" builtinId="9" hidden="1"/>
    <cellStyle name="Followed Hyperlink" xfId="2243" builtinId="9" hidden="1"/>
    <cellStyle name="Followed Hyperlink" xfId="2245" builtinId="9" hidden="1"/>
    <cellStyle name="Followed Hyperlink" xfId="2247" builtinId="9" hidden="1"/>
    <cellStyle name="Followed Hyperlink" xfId="2249" builtinId="9" hidden="1"/>
    <cellStyle name="Followed Hyperlink" xfId="2251" builtinId="9" hidden="1"/>
    <cellStyle name="Followed Hyperlink" xfId="2253" builtinId="9" hidden="1"/>
    <cellStyle name="Followed Hyperlink" xfId="2255" builtinId="9" hidden="1"/>
    <cellStyle name="Followed Hyperlink" xfId="2257" builtinId="9" hidden="1"/>
    <cellStyle name="Followed Hyperlink" xfId="2259" builtinId="9" hidden="1"/>
    <cellStyle name="Followed Hyperlink" xfId="2261" builtinId="9" hidden="1"/>
    <cellStyle name="Followed Hyperlink" xfId="2263" builtinId="9" hidden="1"/>
    <cellStyle name="Followed Hyperlink" xfId="2265" builtinId="9" hidden="1"/>
    <cellStyle name="Followed Hyperlink" xfId="2267" builtinId="9" hidden="1"/>
    <cellStyle name="Followed Hyperlink" xfId="2269" builtinId="9" hidden="1"/>
    <cellStyle name="Followed Hyperlink" xfId="2271" builtinId="9" hidden="1"/>
    <cellStyle name="Followed Hyperlink" xfId="2273" builtinId="9" hidden="1"/>
    <cellStyle name="Followed Hyperlink" xfId="2275" builtinId="9" hidden="1"/>
    <cellStyle name="Followed Hyperlink" xfId="2277" builtinId="9" hidden="1"/>
    <cellStyle name="Followed Hyperlink" xfId="2279" builtinId="9" hidden="1"/>
    <cellStyle name="Followed Hyperlink" xfId="2281" builtinId="9" hidden="1"/>
    <cellStyle name="Followed Hyperlink" xfId="2283" builtinId="9" hidden="1"/>
    <cellStyle name="Followed Hyperlink" xfId="2285" builtinId="9" hidden="1"/>
    <cellStyle name="Followed Hyperlink" xfId="2287" builtinId="9" hidden="1"/>
    <cellStyle name="Followed Hyperlink" xfId="2289" builtinId="9" hidden="1"/>
    <cellStyle name="Followed Hyperlink" xfId="2291" builtinId="9" hidden="1"/>
    <cellStyle name="Followed Hyperlink" xfId="2293" builtinId="9" hidden="1"/>
    <cellStyle name="Followed Hyperlink" xfId="2295" builtinId="9" hidden="1"/>
    <cellStyle name="Followed Hyperlink" xfId="2297" builtinId="9" hidden="1"/>
    <cellStyle name="Followed Hyperlink" xfId="2299" builtinId="9" hidden="1"/>
    <cellStyle name="Followed Hyperlink" xfId="2301" builtinId="9" hidden="1"/>
    <cellStyle name="Followed Hyperlink" xfId="2303" builtinId="9" hidden="1"/>
    <cellStyle name="Followed Hyperlink" xfId="2305" builtinId="9" hidden="1"/>
    <cellStyle name="Followed Hyperlink" xfId="2307" builtinId="9" hidden="1"/>
    <cellStyle name="Followed Hyperlink" xfId="2309" builtinId="9" hidden="1"/>
    <cellStyle name="Followed Hyperlink" xfId="2311" builtinId="9" hidden="1"/>
    <cellStyle name="Followed Hyperlink" xfId="2313" builtinId="9" hidden="1"/>
    <cellStyle name="Followed Hyperlink" xfId="2315" builtinId="9" hidden="1"/>
    <cellStyle name="Followed Hyperlink" xfId="2317" builtinId="9" hidden="1"/>
    <cellStyle name="Followed Hyperlink" xfId="2319" builtinId="9" hidden="1"/>
    <cellStyle name="Followed Hyperlink" xfId="2321" builtinId="9" hidden="1"/>
    <cellStyle name="Followed Hyperlink" xfId="2323" builtinId="9" hidden="1"/>
    <cellStyle name="Followed Hyperlink" xfId="2325" builtinId="9" hidden="1"/>
    <cellStyle name="Followed Hyperlink" xfId="2327" builtinId="9" hidden="1"/>
    <cellStyle name="Followed Hyperlink" xfId="2329" builtinId="9" hidden="1"/>
    <cellStyle name="Followed Hyperlink" xfId="2331" builtinId="9" hidden="1"/>
    <cellStyle name="Followed Hyperlink" xfId="2333" builtinId="9" hidden="1"/>
    <cellStyle name="Followed Hyperlink" xfId="2335" builtinId="9" hidden="1"/>
    <cellStyle name="Followed Hyperlink" xfId="2337" builtinId="9" hidden="1"/>
    <cellStyle name="Followed Hyperlink" xfId="2339" builtinId="9" hidden="1"/>
    <cellStyle name="Followed Hyperlink" xfId="2341" builtinId="9" hidden="1"/>
    <cellStyle name="Followed Hyperlink" xfId="2343" builtinId="9" hidden="1"/>
    <cellStyle name="Followed Hyperlink" xfId="2345" builtinId="9" hidden="1"/>
    <cellStyle name="Followed Hyperlink" xfId="2347" builtinId="9" hidden="1"/>
    <cellStyle name="Followed Hyperlink" xfId="2349" builtinId="9" hidden="1"/>
    <cellStyle name="Followed Hyperlink" xfId="2351" builtinId="9" hidden="1"/>
    <cellStyle name="Followed Hyperlink" xfId="2353" builtinId="9" hidden="1"/>
    <cellStyle name="Followed Hyperlink" xfId="2355" builtinId="9" hidden="1"/>
    <cellStyle name="Followed Hyperlink" xfId="2357" builtinId="9" hidden="1"/>
    <cellStyle name="Followed Hyperlink" xfId="2359" builtinId="9" hidden="1"/>
    <cellStyle name="Followed Hyperlink" xfId="2361" builtinId="9" hidden="1"/>
    <cellStyle name="Followed Hyperlink" xfId="2363" builtinId="9" hidden="1"/>
    <cellStyle name="Followed Hyperlink" xfId="2365" builtinId="9" hidden="1"/>
    <cellStyle name="Followed Hyperlink" xfId="2367" builtinId="9" hidden="1"/>
    <cellStyle name="Followed Hyperlink" xfId="2369" builtinId="9" hidden="1"/>
    <cellStyle name="Followed Hyperlink" xfId="2371" builtinId="9" hidden="1"/>
    <cellStyle name="Followed Hyperlink" xfId="2373" builtinId="9" hidden="1"/>
    <cellStyle name="Followed Hyperlink" xfId="2375" builtinId="9" hidden="1"/>
    <cellStyle name="Followed Hyperlink" xfId="2377" builtinId="9" hidden="1"/>
    <cellStyle name="Followed Hyperlink" xfId="2379" builtinId="9" hidden="1"/>
    <cellStyle name="Followed Hyperlink" xfId="2381" builtinId="9" hidden="1"/>
    <cellStyle name="Followed Hyperlink" xfId="2383" builtinId="9" hidden="1"/>
    <cellStyle name="Followed Hyperlink" xfId="2385" builtinId="9" hidden="1"/>
    <cellStyle name="Followed Hyperlink" xfId="2387" builtinId="9" hidden="1"/>
    <cellStyle name="Followed Hyperlink" xfId="2389" builtinId="9" hidden="1"/>
    <cellStyle name="Followed Hyperlink" xfId="2391" builtinId="9" hidden="1"/>
    <cellStyle name="Followed Hyperlink" xfId="2393" builtinId="9" hidden="1"/>
    <cellStyle name="Followed Hyperlink" xfId="2395" builtinId="9" hidden="1"/>
    <cellStyle name="Followed Hyperlink" xfId="2397" builtinId="9" hidden="1"/>
    <cellStyle name="Followed Hyperlink" xfId="2399" builtinId="9" hidden="1"/>
    <cellStyle name="Followed Hyperlink" xfId="2401" builtinId="9" hidden="1"/>
    <cellStyle name="Followed Hyperlink" xfId="2403" builtinId="9" hidden="1"/>
    <cellStyle name="Followed Hyperlink" xfId="2405" builtinId="9" hidden="1"/>
    <cellStyle name="Followed Hyperlink" xfId="2407" builtinId="9" hidden="1"/>
    <cellStyle name="Followed Hyperlink" xfId="2409" builtinId="9" hidden="1"/>
    <cellStyle name="Followed Hyperlink" xfId="2411" builtinId="9" hidden="1"/>
    <cellStyle name="Followed Hyperlink" xfId="2413" builtinId="9" hidden="1"/>
    <cellStyle name="Followed Hyperlink" xfId="2415" builtinId="9" hidden="1"/>
    <cellStyle name="Followed Hyperlink" xfId="2417" builtinId="9" hidden="1"/>
    <cellStyle name="Followed Hyperlink" xfId="2419" builtinId="9" hidden="1"/>
    <cellStyle name="Followed Hyperlink" xfId="2421" builtinId="9" hidden="1"/>
    <cellStyle name="Followed Hyperlink" xfId="2423" builtinId="9" hidden="1"/>
    <cellStyle name="Followed Hyperlink" xfId="2425" builtinId="9" hidden="1"/>
    <cellStyle name="Followed Hyperlink" xfId="2427" builtinId="9" hidden="1"/>
    <cellStyle name="Followed Hyperlink" xfId="2429" builtinId="9" hidden="1"/>
    <cellStyle name="Followed Hyperlink" xfId="2431" builtinId="9" hidden="1"/>
    <cellStyle name="Followed Hyperlink" xfId="2433" builtinId="9" hidden="1"/>
    <cellStyle name="Followed Hyperlink" xfId="2435" builtinId="9" hidden="1"/>
    <cellStyle name="Followed Hyperlink" xfId="2437" builtinId="9" hidden="1"/>
    <cellStyle name="Followed Hyperlink" xfId="2439" builtinId="9" hidden="1"/>
    <cellStyle name="Followed Hyperlink" xfId="2441" builtinId="9" hidden="1"/>
    <cellStyle name="Followed Hyperlink" xfId="2443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2" builtinId="8" hidden="1"/>
    <cellStyle name="Hyperlink" xfId="2134" builtinId="8" hidden="1"/>
    <cellStyle name="Hyperlink" xfId="2136" builtinId="8" hidden="1"/>
    <cellStyle name="Hyperlink" xfId="2138" builtinId="8" hidden="1"/>
    <cellStyle name="Hyperlink" xfId="2140" builtinId="8" hidden="1"/>
    <cellStyle name="Hyperlink" xfId="2142" builtinId="8" hidden="1"/>
    <cellStyle name="Hyperlink" xfId="2144" builtinId="8" hidden="1"/>
    <cellStyle name="Hyperlink" xfId="2146" builtinId="8" hidden="1"/>
    <cellStyle name="Hyperlink" xfId="2148" builtinId="8" hidden="1"/>
    <cellStyle name="Hyperlink" xfId="2150" builtinId="8" hidden="1"/>
    <cellStyle name="Hyperlink" xfId="2152" builtinId="8" hidden="1"/>
    <cellStyle name="Hyperlink" xfId="2154" builtinId="8" hidden="1"/>
    <cellStyle name="Hyperlink" xfId="2156" builtinId="8" hidden="1"/>
    <cellStyle name="Hyperlink" xfId="2158" builtinId="8" hidden="1"/>
    <cellStyle name="Hyperlink" xfId="2160" builtinId="8" hidden="1"/>
    <cellStyle name="Hyperlink" xfId="2162" builtinId="8" hidden="1"/>
    <cellStyle name="Hyperlink" xfId="2164" builtinId="8" hidden="1"/>
    <cellStyle name="Hyperlink" xfId="2166" builtinId="8" hidden="1"/>
    <cellStyle name="Hyperlink" xfId="2168" builtinId="8" hidden="1"/>
    <cellStyle name="Hyperlink" xfId="2170" builtinId="8" hidden="1"/>
    <cellStyle name="Hyperlink" xfId="2172" builtinId="8" hidden="1"/>
    <cellStyle name="Hyperlink" xfId="2174" builtinId="8" hidden="1"/>
    <cellStyle name="Hyperlink" xfId="2176" builtinId="8" hidden="1"/>
    <cellStyle name="Hyperlink" xfId="2178" builtinId="8" hidden="1"/>
    <cellStyle name="Hyperlink" xfId="2180" builtinId="8" hidden="1"/>
    <cellStyle name="Hyperlink" xfId="2182" builtinId="8" hidden="1"/>
    <cellStyle name="Hyperlink" xfId="2184" builtinId="8" hidden="1"/>
    <cellStyle name="Hyperlink" xfId="2186" builtinId="8" hidden="1"/>
    <cellStyle name="Hyperlink" xfId="2188" builtinId="8" hidden="1"/>
    <cellStyle name="Hyperlink" xfId="2190" builtinId="8" hidden="1"/>
    <cellStyle name="Hyperlink" xfId="2192" builtinId="8" hidden="1"/>
    <cellStyle name="Hyperlink" xfId="2194" builtinId="8" hidden="1"/>
    <cellStyle name="Hyperlink" xfId="2196" builtinId="8" hidden="1"/>
    <cellStyle name="Hyperlink" xfId="2198" builtinId="8" hidden="1"/>
    <cellStyle name="Hyperlink" xfId="2200" builtinId="8" hidden="1"/>
    <cellStyle name="Hyperlink" xfId="2202" builtinId="8" hidden="1"/>
    <cellStyle name="Hyperlink" xfId="2204" builtinId="8" hidden="1"/>
    <cellStyle name="Hyperlink" xfId="2206" builtinId="8" hidden="1"/>
    <cellStyle name="Hyperlink" xfId="2208" builtinId="8" hidden="1"/>
    <cellStyle name="Hyperlink" xfId="2210" builtinId="8" hidden="1"/>
    <cellStyle name="Hyperlink" xfId="2212" builtinId="8" hidden="1"/>
    <cellStyle name="Hyperlink" xfId="2214" builtinId="8" hidden="1"/>
    <cellStyle name="Hyperlink" xfId="2216" builtinId="8" hidden="1"/>
    <cellStyle name="Hyperlink" xfId="2218" builtinId="8" hidden="1"/>
    <cellStyle name="Hyperlink" xfId="2220" builtinId="8" hidden="1"/>
    <cellStyle name="Hyperlink" xfId="2222" builtinId="8" hidden="1"/>
    <cellStyle name="Hyperlink" xfId="2224" builtinId="8" hidden="1"/>
    <cellStyle name="Hyperlink" xfId="2226" builtinId="8" hidden="1"/>
    <cellStyle name="Hyperlink" xfId="2228" builtinId="8" hidden="1"/>
    <cellStyle name="Hyperlink" xfId="2230" builtinId="8" hidden="1"/>
    <cellStyle name="Hyperlink" xfId="2232" builtinId="8" hidden="1"/>
    <cellStyle name="Hyperlink" xfId="2234" builtinId="8" hidden="1"/>
    <cellStyle name="Hyperlink" xfId="2236" builtinId="8" hidden="1"/>
    <cellStyle name="Hyperlink" xfId="2238" builtinId="8" hidden="1"/>
    <cellStyle name="Hyperlink" xfId="2240" builtinId="8" hidden="1"/>
    <cellStyle name="Hyperlink" xfId="2242" builtinId="8" hidden="1"/>
    <cellStyle name="Hyperlink" xfId="2244" builtinId="8" hidden="1"/>
    <cellStyle name="Hyperlink" xfId="2246" builtinId="8" hidden="1"/>
    <cellStyle name="Hyperlink" xfId="2248" builtinId="8" hidden="1"/>
    <cellStyle name="Hyperlink" xfId="2250" builtinId="8" hidden="1"/>
    <cellStyle name="Hyperlink" xfId="2252" builtinId="8" hidden="1"/>
    <cellStyle name="Hyperlink" xfId="2254" builtinId="8" hidden="1"/>
    <cellStyle name="Hyperlink" xfId="2256" builtinId="8" hidden="1"/>
    <cellStyle name="Hyperlink" xfId="2258" builtinId="8" hidden="1"/>
    <cellStyle name="Hyperlink" xfId="2260" builtinId="8" hidden="1"/>
    <cellStyle name="Hyperlink" xfId="2262" builtinId="8" hidden="1"/>
    <cellStyle name="Hyperlink" xfId="2264" builtinId="8" hidden="1"/>
    <cellStyle name="Hyperlink" xfId="2266" builtinId="8" hidden="1"/>
    <cellStyle name="Hyperlink" xfId="2268" builtinId="8" hidden="1"/>
    <cellStyle name="Hyperlink" xfId="2270" builtinId="8" hidden="1"/>
    <cellStyle name="Hyperlink" xfId="2272" builtinId="8" hidden="1"/>
    <cellStyle name="Hyperlink" xfId="2274" builtinId="8" hidden="1"/>
    <cellStyle name="Hyperlink" xfId="2276" builtinId="8" hidden="1"/>
    <cellStyle name="Hyperlink" xfId="2278" builtinId="8" hidden="1"/>
    <cellStyle name="Hyperlink" xfId="2280" builtinId="8" hidden="1"/>
    <cellStyle name="Hyperlink" xfId="2282" builtinId="8" hidden="1"/>
    <cellStyle name="Hyperlink" xfId="2284" builtinId="8" hidden="1"/>
    <cellStyle name="Hyperlink" xfId="2286" builtinId="8" hidden="1"/>
    <cellStyle name="Hyperlink" xfId="2288" builtinId="8" hidden="1"/>
    <cellStyle name="Hyperlink" xfId="2290" builtinId="8" hidden="1"/>
    <cellStyle name="Hyperlink" xfId="2292" builtinId="8" hidden="1"/>
    <cellStyle name="Hyperlink" xfId="2294" builtinId="8" hidden="1"/>
    <cellStyle name="Hyperlink" xfId="2296" builtinId="8" hidden="1"/>
    <cellStyle name="Hyperlink" xfId="2298" builtinId="8" hidden="1"/>
    <cellStyle name="Hyperlink" xfId="2300" builtinId="8" hidden="1"/>
    <cellStyle name="Hyperlink" xfId="2302" builtinId="8" hidden="1"/>
    <cellStyle name="Hyperlink" xfId="2304" builtinId="8" hidden="1"/>
    <cellStyle name="Hyperlink" xfId="2306" builtinId="8" hidden="1"/>
    <cellStyle name="Hyperlink" xfId="2308" builtinId="8" hidden="1"/>
    <cellStyle name="Hyperlink" xfId="2310" builtinId="8" hidden="1"/>
    <cellStyle name="Hyperlink" xfId="2312" builtinId="8" hidden="1"/>
    <cellStyle name="Hyperlink" xfId="2314" builtinId="8" hidden="1"/>
    <cellStyle name="Hyperlink" xfId="2316" builtinId="8" hidden="1"/>
    <cellStyle name="Hyperlink" xfId="2318" builtinId="8" hidden="1"/>
    <cellStyle name="Hyperlink" xfId="2320" builtinId="8" hidden="1"/>
    <cellStyle name="Hyperlink" xfId="2322" builtinId="8" hidden="1"/>
    <cellStyle name="Hyperlink" xfId="2324" builtinId="8" hidden="1"/>
    <cellStyle name="Hyperlink" xfId="2326" builtinId="8" hidden="1"/>
    <cellStyle name="Hyperlink" xfId="2328" builtinId="8" hidden="1"/>
    <cellStyle name="Hyperlink" xfId="2330" builtinId="8" hidden="1"/>
    <cellStyle name="Hyperlink" xfId="2332" builtinId="8" hidden="1"/>
    <cellStyle name="Hyperlink" xfId="2334" builtinId="8" hidden="1"/>
    <cellStyle name="Hyperlink" xfId="2336" builtinId="8" hidden="1"/>
    <cellStyle name="Hyperlink" xfId="2338" builtinId="8" hidden="1"/>
    <cellStyle name="Hyperlink" xfId="2340" builtinId="8" hidden="1"/>
    <cellStyle name="Hyperlink" xfId="2342" builtinId="8" hidden="1"/>
    <cellStyle name="Hyperlink" xfId="2344" builtinId="8" hidden="1"/>
    <cellStyle name="Hyperlink" xfId="2346" builtinId="8" hidden="1"/>
    <cellStyle name="Hyperlink" xfId="2348" builtinId="8" hidden="1"/>
    <cellStyle name="Hyperlink" xfId="2350" builtinId="8" hidden="1"/>
    <cellStyle name="Hyperlink" xfId="2352" builtinId="8" hidden="1"/>
    <cellStyle name="Hyperlink" xfId="2354" builtinId="8" hidden="1"/>
    <cellStyle name="Hyperlink" xfId="2356" builtinId="8" hidden="1"/>
    <cellStyle name="Hyperlink" xfId="2358" builtinId="8" hidden="1"/>
    <cellStyle name="Hyperlink" xfId="2360" builtinId="8" hidden="1"/>
    <cellStyle name="Hyperlink" xfId="2362" builtinId="8" hidden="1"/>
    <cellStyle name="Hyperlink" xfId="2364" builtinId="8" hidden="1"/>
    <cellStyle name="Hyperlink" xfId="2366" builtinId="8" hidden="1"/>
    <cellStyle name="Hyperlink" xfId="2368" builtinId="8" hidden="1"/>
    <cellStyle name="Hyperlink" xfId="2370" builtinId="8" hidden="1"/>
    <cellStyle name="Hyperlink" xfId="2372" builtinId="8" hidden="1"/>
    <cellStyle name="Hyperlink" xfId="2374" builtinId="8" hidden="1"/>
    <cellStyle name="Hyperlink" xfId="2376" builtinId="8" hidden="1"/>
    <cellStyle name="Hyperlink" xfId="2378" builtinId="8" hidden="1"/>
    <cellStyle name="Hyperlink" xfId="2380" builtinId="8" hidden="1"/>
    <cellStyle name="Hyperlink" xfId="2382" builtinId="8" hidden="1"/>
    <cellStyle name="Hyperlink" xfId="2384" builtinId="8" hidden="1"/>
    <cellStyle name="Hyperlink" xfId="2386" builtinId="8" hidden="1"/>
    <cellStyle name="Hyperlink" xfId="2388" builtinId="8" hidden="1"/>
    <cellStyle name="Hyperlink" xfId="2390" builtinId="8" hidden="1"/>
    <cellStyle name="Hyperlink" xfId="2392" builtinId="8" hidden="1"/>
    <cellStyle name="Hyperlink" xfId="2394" builtinId="8" hidden="1"/>
    <cellStyle name="Hyperlink" xfId="2396" builtinId="8" hidden="1"/>
    <cellStyle name="Hyperlink" xfId="2398" builtinId="8" hidden="1"/>
    <cellStyle name="Hyperlink" xfId="2400" builtinId="8" hidden="1"/>
    <cellStyle name="Hyperlink" xfId="2402" builtinId="8" hidden="1"/>
    <cellStyle name="Hyperlink" xfId="2404" builtinId="8" hidden="1"/>
    <cellStyle name="Hyperlink" xfId="2406" builtinId="8" hidden="1"/>
    <cellStyle name="Hyperlink" xfId="2408" builtinId="8" hidden="1"/>
    <cellStyle name="Hyperlink" xfId="2410" builtinId="8" hidden="1"/>
    <cellStyle name="Hyperlink" xfId="2412" builtinId="8" hidden="1"/>
    <cellStyle name="Hyperlink" xfId="2414" builtinId="8" hidden="1"/>
    <cellStyle name="Hyperlink" xfId="2416" builtinId="8" hidden="1"/>
    <cellStyle name="Hyperlink" xfId="2418" builtinId="8" hidden="1"/>
    <cellStyle name="Hyperlink" xfId="2420" builtinId="8" hidden="1"/>
    <cellStyle name="Hyperlink" xfId="2422" builtinId="8" hidden="1"/>
    <cellStyle name="Hyperlink" xfId="2424" builtinId="8" hidden="1"/>
    <cellStyle name="Hyperlink" xfId="2426" builtinId="8" hidden="1"/>
    <cellStyle name="Hyperlink" xfId="2428" builtinId="8" hidden="1"/>
    <cellStyle name="Hyperlink" xfId="2430" builtinId="8" hidden="1"/>
    <cellStyle name="Hyperlink" xfId="2432" builtinId="8" hidden="1"/>
    <cellStyle name="Hyperlink" xfId="2434" builtinId="8" hidden="1"/>
    <cellStyle name="Hyperlink" xfId="2436" builtinId="8" hidden="1"/>
    <cellStyle name="Hyperlink" xfId="2438" builtinId="8" hidden="1"/>
    <cellStyle name="Hyperlink" xfId="2440" builtinId="8" hidden="1"/>
    <cellStyle name="Hyperlink" xfId="2442" builtinId="8" hidden="1"/>
    <cellStyle name="Hyperlink" xfId="2444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workbookViewId="0">
      <selection activeCell="K23" sqref="K23:O23"/>
    </sheetView>
  </sheetViews>
  <sheetFormatPr baseColWidth="10" defaultRowHeight="15" x14ac:dyDescent="0.2"/>
  <cols>
    <col min="2" max="2" width="31.6640625" customWidth="1"/>
  </cols>
  <sheetData>
    <row r="1" spans="1:15" x14ac:dyDescent="0.2">
      <c r="A1" s="3" t="s">
        <v>15</v>
      </c>
      <c r="B1" s="3" t="s">
        <v>681</v>
      </c>
      <c r="C1" s="3">
        <v>2001</v>
      </c>
      <c r="D1" s="3">
        <v>2005</v>
      </c>
      <c r="E1" s="3">
        <v>2009</v>
      </c>
      <c r="F1" s="3">
        <v>2013</v>
      </c>
      <c r="G1" s="3">
        <v>2017</v>
      </c>
      <c r="H1" s="3">
        <v>2021</v>
      </c>
      <c r="J1" s="3">
        <v>2001</v>
      </c>
      <c r="K1" s="3">
        <v>2005</v>
      </c>
      <c r="L1" s="3">
        <v>2009</v>
      </c>
      <c r="M1" s="3">
        <v>2013</v>
      </c>
      <c r="N1" s="3">
        <v>2017</v>
      </c>
      <c r="O1" s="3">
        <v>2021</v>
      </c>
    </row>
    <row r="2" spans="1:15" ht="16" x14ac:dyDescent="0.2">
      <c r="A2" s="18" t="s">
        <v>95</v>
      </c>
      <c r="B2" s="19" t="s">
        <v>669</v>
      </c>
      <c r="C2" s="1">
        <v>41.4</v>
      </c>
      <c r="D2" s="1">
        <v>8.9</v>
      </c>
      <c r="E2" s="1">
        <v>40.9</v>
      </c>
      <c r="F2" s="1">
        <v>41.4</v>
      </c>
      <c r="G2" s="1">
        <v>48.3</v>
      </c>
      <c r="H2" s="1">
        <v>48.7</v>
      </c>
      <c r="J2" s="1">
        <v>41.4</v>
      </c>
      <c r="K2" s="1">
        <f>(D2*0.2)+D2</f>
        <v>10.68</v>
      </c>
      <c r="L2" s="1">
        <f>(E2*0.4)+E2</f>
        <v>57.26</v>
      </c>
      <c r="M2" s="1">
        <f>(F2*0.6)+F2</f>
        <v>66.239999999999995</v>
      </c>
      <c r="N2" s="1">
        <f>(G2*0.8)+G2</f>
        <v>86.94</v>
      </c>
      <c r="O2" s="1">
        <f>(H2*1)+H2</f>
        <v>97.4</v>
      </c>
    </row>
    <row r="3" spans="1:15" ht="16" x14ac:dyDescent="0.2">
      <c r="A3" s="18" t="s">
        <v>361</v>
      </c>
      <c r="B3" s="19" t="s">
        <v>670</v>
      </c>
      <c r="C3" s="1">
        <v>36.9</v>
      </c>
      <c r="D3" s="1">
        <v>7.7</v>
      </c>
      <c r="E3" s="1">
        <v>40.200000000000003</v>
      </c>
      <c r="F3" s="1">
        <v>30.6</v>
      </c>
      <c r="G3" s="1">
        <v>28.9</v>
      </c>
      <c r="H3" s="1">
        <v>39.4</v>
      </c>
      <c r="J3" s="1">
        <v>36.9</v>
      </c>
      <c r="K3" s="1">
        <f>(D3*0.2)+D3</f>
        <v>9.24</v>
      </c>
      <c r="L3" s="1">
        <f>(E3*0.4)+E3</f>
        <v>56.28</v>
      </c>
      <c r="M3" s="1">
        <f>(F3*0.6)+F3</f>
        <v>48.96</v>
      </c>
      <c r="N3" s="1">
        <f>(G3*0.8)+G3</f>
        <v>52.019999999999996</v>
      </c>
      <c r="O3" s="1">
        <f t="shared" ref="O3:O4" si="0">(H3*1)+H3</f>
        <v>78.8</v>
      </c>
    </row>
    <row r="4" spans="1:15" ht="16" x14ac:dyDescent="0.2">
      <c r="A4" s="8" t="s">
        <v>20</v>
      </c>
      <c r="B4" s="19" t="s">
        <v>671</v>
      </c>
      <c r="C4" s="1">
        <v>3.7</v>
      </c>
      <c r="D4" s="1">
        <v>12.7</v>
      </c>
      <c r="E4" s="1">
        <v>1.8</v>
      </c>
      <c r="F4" s="1">
        <v>0.6</v>
      </c>
      <c r="G4" s="1">
        <v>1</v>
      </c>
      <c r="H4" s="1">
        <v>2.2999999999999998</v>
      </c>
      <c r="J4" s="1">
        <v>3.7</v>
      </c>
      <c r="K4" s="1">
        <f t="shared" ref="K4:K8" si="1">(D4*0.2)+D4</f>
        <v>15.239999999999998</v>
      </c>
      <c r="L4" s="1">
        <f t="shared" ref="L4:L8" si="2">(E4*0.4)+E4</f>
        <v>2.52</v>
      </c>
      <c r="M4" s="1">
        <f t="shared" ref="M4:M8" si="3">(F4*0.6)+F4</f>
        <v>0.96</v>
      </c>
      <c r="N4" s="1">
        <f>(G4*0.8)+G4</f>
        <v>1.8</v>
      </c>
      <c r="O4" s="1">
        <f t="shared" si="0"/>
        <v>4.5999999999999996</v>
      </c>
    </row>
    <row r="5" spans="1:15" ht="16" x14ac:dyDescent="0.2">
      <c r="A5" s="8" t="s">
        <v>162</v>
      </c>
      <c r="B5" s="19" t="s">
        <v>672</v>
      </c>
      <c r="C5" s="1">
        <v>5.0999999999999996</v>
      </c>
      <c r="D5" s="1">
        <v>7.4</v>
      </c>
      <c r="J5" s="1">
        <v>5.0999999999999996</v>
      </c>
      <c r="K5" s="1">
        <f>(D5*0.2)+D5</f>
        <v>8.8800000000000008</v>
      </c>
      <c r="L5" s="1"/>
      <c r="M5" s="1"/>
      <c r="N5" s="1"/>
    </row>
    <row r="6" spans="1:15" ht="16" x14ac:dyDescent="0.2">
      <c r="A6" s="8" t="s">
        <v>668</v>
      </c>
      <c r="B6" s="32" t="s">
        <v>673</v>
      </c>
      <c r="C6" s="1">
        <v>2.6</v>
      </c>
      <c r="D6" s="1">
        <v>6.6</v>
      </c>
      <c r="E6" s="1">
        <v>0.9</v>
      </c>
      <c r="F6" s="1">
        <v>0.2</v>
      </c>
      <c r="J6" s="1">
        <v>2.6</v>
      </c>
      <c r="K6" s="1">
        <f t="shared" si="1"/>
        <v>7.92</v>
      </c>
      <c r="L6" s="1">
        <f t="shared" si="2"/>
        <v>1.26</v>
      </c>
      <c r="M6" s="1">
        <f t="shared" si="3"/>
        <v>0.32</v>
      </c>
      <c r="N6" s="1"/>
    </row>
    <row r="7" spans="1:15" ht="16" x14ac:dyDescent="0.2">
      <c r="A7" s="8" t="s">
        <v>163</v>
      </c>
      <c r="B7" s="19" t="s">
        <v>674</v>
      </c>
      <c r="C7" s="1">
        <v>2.6</v>
      </c>
      <c r="D7" s="1">
        <v>4.8</v>
      </c>
      <c r="E7" s="1">
        <v>0.3</v>
      </c>
      <c r="F7" s="1">
        <v>0.1</v>
      </c>
      <c r="G7" s="1">
        <v>0</v>
      </c>
      <c r="H7" s="1"/>
      <c r="J7" s="1">
        <v>2.6</v>
      </c>
      <c r="K7" s="1">
        <f t="shared" si="1"/>
        <v>5.76</v>
      </c>
      <c r="L7" s="1">
        <f t="shared" si="2"/>
        <v>0.42</v>
      </c>
      <c r="M7" s="1">
        <f t="shared" si="3"/>
        <v>0.16</v>
      </c>
      <c r="N7" s="1">
        <f>(G7*0.8)+G7</f>
        <v>0</v>
      </c>
    </row>
    <row r="8" spans="1:15" ht="16" x14ac:dyDescent="0.2">
      <c r="A8" s="8" t="s">
        <v>140</v>
      </c>
      <c r="B8" s="19" t="s">
        <v>675</v>
      </c>
      <c r="C8" s="1">
        <v>0.9</v>
      </c>
      <c r="D8" s="1">
        <v>3.3</v>
      </c>
      <c r="E8" s="1">
        <v>0.9</v>
      </c>
      <c r="F8" s="1">
        <v>0.5</v>
      </c>
      <c r="J8" s="1">
        <v>0.9</v>
      </c>
      <c r="K8" s="1">
        <f t="shared" si="1"/>
        <v>3.96</v>
      </c>
      <c r="L8" s="1">
        <f t="shared" si="2"/>
        <v>1.26</v>
      </c>
      <c r="M8" s="1">
        <f t="shared" si="3"/>
        <v>0.8</v>
      </c>
      <c r="N8" s="1"/>
    </row>
    <row r="9" spans="1:15" ht="16" x14ac:dyDescent="0.2">
      <c r="A9" s="8" t="s">
        <v>161</v>
      </c>
      <c r="B9" s="19" t="s">
        <v>676</v>
      </c>
      <c r="C9" s="1">
        <v>2.6</v>
      </c>
      <c r="D9" s="1">
        <v>4.0999999999999996</v>
      </c>
      <c r="E9" s="1">
        <v>1.2</v>
      </c>
      <c r="F9" s="1">
        <v>0.9</v>
      </c>
      <c r="G9" s="1"/>
      <c r="H9" s="1"/>
      <c r="J9" s="1">
        <v>2.6</v>
      </c>
      <c r="K9" s="1">
        <f>(D9*0.2)+D9</f>
        <v>4.92</v>
      </c>
      <c r="L9" s="1">
        <f>(E9*0.4)+E9</f>
        <v>1.68</v>
      </c>
      <c r="M9" s="1">
        <f>(F9*0.6)+F9</f>
        <v>1.44</v>
      </c>
      <c r="N9" s="1"/>
    </row>
    <row r="10" spans="1:15" ht="16" x14ac:dyDescent="0.2">
      <c r="A10" s="8" t="s">
        <v>160</v>
      </c>
      <c r="B10" s="32" t="s">
        <v>677</v>
      </c>
      <c r="C10" s="1"/>
      <c r="D10" s="3">
        <v>20</v>
      </c>
      <c r="E10" s="1">
        <v>2.1</v>
      </c>
      <c r="F10" s="1">
        <v>3</v>
      </c>
      <c r="G10" s="1">
        <v>0.2</v>
      </c>
      <c r="H10" s="1"/>
      <c r="J10" s="1"/>
      <c r="K10" s="3">
        <f>(D10*0.2)+D10</f>
        <v>24</v>
      </c>
      <c r="L10" s="1">
        <f>(E10*0.4)+E10</f>
        <v>2.9400000000000004</v>
      </c>
      <c r="M10" s="1">
        <f>(F10*0.6)+F10</f>
        <v>4.8</v>
      </c>
      <c r="N10" s="1">
        <f>(G10*0.8)+G10</f>
        <v>0.36000000000000004</v>
      </c>
    </row>
    <row r="11" spans="1:15" ht="16" x14ac:dyDescent="0.2">
      <c r="A11" s="8" t="s">
        <v>433</v>
      </c>
      <c r="B11" s="19" t="s">
        <v>678</v>
      </c>
      <c r="C11" s="1"/>
      <c r="D11" s="1">
        <v>4.2</v>
      </c>
      <c r="E11" s="1">
        <v>0.7</v>
      </c>
      <c r="F11" s="1">
        <v>0.7</v>
      </c>
      <c r="G11" s="1">
        <v>0.2</v>
      </c>
      <c r="H11" s="1"/>
      <c r="J11" s="1"/>
      <c r="K11" s="1">
        <v>4.2</v>
      </c>
      <c r="L11" s="1">
        <f>(E11*0.2)+E11</f>
        <v>0.84</v>
      </c>
      <c r="M11" s="1">
        <f>(F11*0.4)+F11</f>
        <v>0.98</v>
      </c>
      <c r="N11" s="1">
        <f>(G11*0.6)+G11</f>
        <v>0.32</v>
      </c>
    </row>
    <row r="12" spans="1:15" x14ac:dyDescent="0.2">
      <c r="A12" s="8" t="s">
        <v>1331</v>
      </c>
      <c r="B12" s="1" t="s">
        <v>1332</v>
      </c>
      <c r="C12" s="1"/>
      <c r="D12" s="14"/>
      <c r="E12" s="14"/>
      <c r="F12" s="1">
        <v>2.6</v>
      </c>
      <c r="G12" s="1">
        <v>4.8</v>
      </c>
      <c r="H12" s="1"/>
      <c r="J12" s="1"/>
      <c r="K12" s="1"/>
      <c r="L12" s="1"/>
      <c r="M12" s="1">
        <v>2.6</v>
      </c>
      <c r="N12" s="1">
        <f>(G12*0.2)+G12</f>
        <v>5.76</v>
      </c>
    </row>
    <row r="13" spans="1:15" ht="16" x14ac:dyDescent="0.2">
      <c r="A13" s="8" t="s">
        <v>434</v>
      </c>
      <c r="B13" s="19" t="s">
        <v>679</v>
      </c>
      <c r="C13" s="1"/>
      <c r="D13" s="1">
        <v>3.5</v>
      </c>
      <c r="E13" s="1">
        <v>0.7</v>
      </c>
      <c r="F13" s="1">
        <v>0.3</v>
      </c>
      <c r="J13" s="1"/>
      <c r="K13" s="1">
        <v>3.5</v>
      </c>
      <c r="L13" s="1">
        <f>(E13*0.2)+E13</f>
        <v>0.84</v>
      </c>
      <c r="M13" s="1">
        <f>(F13*0.4)+F13</f>
        <v>0.42</v>
      </c>
      <c r="N13" s="1"/>
    </row>
    <row r="14" spans="1:15" ht="16" x14ac:dyDescent="0.2">
      <c r="A14" s="8" t="s">
        <v>159</v>
      </c>
      <c r="B14" s="19" t="s">
        <v>680</v>
      </c>
      <c r="C14" s="1"/>
      <c r="D14" s="1">
        <v>8.4</v>
      </c>
      <c r="E14" s="1">
        <v>4.9000000000000004</v>
      </c>
      <c r="F14" s="1">
        <v>10.5</v>
      </c>
      <c r="G14" s="1">
        <v>14.3</v>
      </c>
      <c r="H14" s="1">
        <v>6.8</v>
      </c>
      <c r="J14" s="1"/>
      <c r="K14" s="1">
        <v>8.4</v>
      </c>
      <c r="L14" s="1">
        <f>(E14*0.2)+E14</f>
        <v>5.8800000000000008</v>
      </c>
      <c r="M14" s="1">
        <f>(F14*0.4)+F14</f>
        <v>14.7</v>
      </c>
      <c r="N14" s="1">
        <f>(G14*0.6)+G14</f>
        <v>22.880000000000003</v>
      </c>
      <c r="O14" s="1">
        <f>(H14*0.8)+H14</f>
        <v>12.24</v>
      </c>
    </row>
    <row r="15" spans="1:15" x14ac:dyDescent="0.2">
      <c r="I15" s="3" t="s">
        <v>14</v>
      </c>
      <c r="J15" s="1">
        <f t="shared" ref="J15:O15" si="4">SUM(J2:J14)</f>
        <v>95.799999999999983</v>
      </c>
      <c r="K15" s="1">
        <f t="shared" si="4"/>
        <v>106.7</v>
      </c>
      <c r="L15" s="1">
        <f t="shared" si="4"/>
        <v>131.18</v>
      </c>
      <c r="M15" s="1">
        <f t="shared" si="4"/>
        <v>142.37999999999997</v>
      </c>
      <c r="N15" s="1">
        <f t="shared" si="4"/>
        <v>170.07999999999998</v>
      </c>
      <c r="O15" s="1">
        <f t="shared" si="4"/>
        <v>193.04</v>
      </c>
    </row>
    <row r="16" spans="1:15" x14ac:dyDescent="0.2">
      <c r="N16" s="1"/>
    </row>
    <row r="17" spans="1:16" x14ac:dyDescent="0.2">
      <c r="J17" s="1">
        <v>100</v>
      </c>
      <c r="K17" s="1">
        <v>120</v>
      </c>
      <c r="L17" s="1">
        <v>140</v>
      </c>
      <c r="M17" s="1">
        <v>160</v>
      </c>
      <c r="N17" s="1">
        <v>180</v>
      </c>
      <c r="O17" s="1">
        <v>200</v>
      </c>
    </row>
    <row r="18" spans="1:16" x14ac:dyDescent="0.2">
      <c r="J18" s="1"/>
      <c r="K18" s="1"/>
      <c r="L18" s="1"/>
      <c r="M18" s="1"/>
      <c r="N18" s="1"/>
    </row>
    <row r="19" spans="1:16" ht="16" x14ac:dyDescent="0.2">
      <c r="A19" s="18"/>
      <c r="B19" s="18"/>
      <c r="C19" s="19"/>
      <c r="J19" s="1">
        <f>J15</f>
        <v>95.799999999999983</v>
      </c>
      <c r="K19" s="1">
        <f>SUM(J19+K15)</f>
        <v>202.5</v>
      </c>
      <c r="L19" s="1">
        <f>SUM(K19+L15)</f>
        <v>333.68</v>
      </c>
      <c r="M19" s="1">
        <f>SUM(L19+M15)</f>
        <v>476.05999999999995</v>
      </c>
      <c r="N19" s="1">
        <f>SUM(M19+N15)</f>
        <v>646.13999999999987</v>
      </c>
      <c r="O19" s="1">
        <f>SUM(N19+O15)</f>
        <v>839.17999999999984</v>
      </c>
      <c r="P19" s="1"/>
    </row>
    <row r="20" spans="1:16" ht="16" x14ac:dyDescent="0.2">
      <c r="A20" s="18"/>
      <c r="B20" s="18"/>
      <c r="C20" s="19"/>
      <c r="J20" s="3"/>
      <c r="K20" s="3"/>
      <c r="L20" s="3"/>
      <c r="M20" s="3"/>
      <c r="N20" s="3"/>
      <c r="O20" s="3"/>
      <c r="P20" s="3"/>
    </row>
    <row r="21" spans="1:16" ht="16" x14ac:dyDescent="0.2">
      <c r="A21" s="18"/>
      <c r="B21" s="18"/>
      <c r="C21" s="19"/>
      <c r="J21" s="1">
        <v>100</v>
      </c>
      <c r="K21" s="1">
        <f>SUM(J21+K17)</f>
        <v>220</v>
      </c>
      <c r="L21" s="1">
        <f>SUM(K21+L17)</f>
        <v>360</v>
      </c>
      <c r="M21" s="1">
        <f>SUM(L21+M17)</f>
        <v>520</v>
      </c>
      <c r="N21" s="1">
        <f>SUM(M21+N17)</f>
        <v>700</v>
      </c>
      <c r="O21" s="1">
        <f>SUM(N21+O17)</f>
        <v>900</v>
      </c>
      <c r="P21" s="1"/>
    </row>
    <row r="22" spans="1:16" ht="16" x14ac:dyDescent="0.2">
      <c r="A22" s="18"/>
      <c r="B22" s="18"/>
      <c r="C22" s="19"/>
    </row>
    <row r="23" spans="1:16" ht="16" x14ac:dyDescent="0.2">
      <c r="A23" s="18"/>
      <c r="B23" s="18"/>
      <c r="C23" s="20"/>
      <c r="J23" s="4" t="s">
        <v>1563</v>
      </c>
      <c r="K23" s="4" t="s">
        <v>1563</v>
      </c>
      <c r="L23" s="4" t="s">
        <v>1563</v>
      </c>
      <c r="M23" s="4" t="s">
        <v>1563</v>
      </c>
      <c r="N23" s="4" t="s">
        <v>1563</v>
      </c>
      <c r="O23" s="4" t="s">
        <v>1563</v>
      </c>
      <c r="P23" s="4"/>
    </row>
    <row r="24" spans="1:16" ht="16" x14ac:dyDescent="0.2">
      <c r="A24" s="18"/>
      <c r="B24" s="18"/>
      <c r="C24" s="19"/>
      <c r="J24" s="6">
        <f t="shared" ref="J24:O24" si="5">(J19/J21)*100</f>
        <v>95.799999999999983</v>
      </c>
      <c r="K24" s="6">
        <f t="shared" si="5"/>
        <v>92.045454545454547</v>
      </c>
      <c r="L24" s="6">
        <f t="shared" si="5"/>
        <v>92.688888888888883</v>
      </c>
      <c r="M24" s="6">
        <f t="shared" si="5"/>
        <v>91.549999999999983</v>
      </c>
      <c r="N24" s="6">
        <f t="shared" si="5"/>
        <v>92.305714285714274</v>
      </c>
      <c r="O24" s="6">
        <f t="shared" si="5"/>
        <v>93.24222222222221</v>
      </c>
      <c r="P24" s="6"/>
    </row>
    <row r="25" spans="1:16" ht="16" x14ac:dyDescent="0.2">
      <c r="A25" s="18"/>
      <c r="B25" s="18"/>
      <c r="C25" s="20"/>
    </row>
    <row r="26" spans="1:16" ht="16" x14ac:dyDescent="0.2">
      <c r="A26" s="18"/>
      <c r="B26" s="18"/>
      <c r="C26" s="19"/>
    </row>
    <row r="27" spans="1:16" ht="16" x14ac:dyDescent="0.2">
      <c r="A27" s="18"/>
      <c r="B27" s="18"/>
      <c r="C27" s="19"/>
    </row>
  </sheetData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1"/>
  <sheetViews>
    <sheetView workbookViewId="0">
      <selection activeCell="I26" sqref="I26:L26"/>
    </sheetView>
  </sheetViews>
  <sheetFormatPr baseColWidth="10" defaultRowHeight="15" x14ac:dyDescent="0.2"/>
  <cols>
    <col min="2" max="2" width="48.1640625" customWidth="1"/>
  </cols>
  <sheetData>
    <row r="1" spans="1:12" ht="16" x14ac:dyDescent="0.2">
      <c r="A1" s="3" t="s">
        <v>15</v>
      </c>
      <c r="B1" s="24" t="s">
        <v>681</v>
      </c>
      <c r="C1" s="3">
        <v>1920</v>
      </c>
      <c r="D1" s="3">
        <v>1925</v>
      </c>
      <c r="E1" s="3">
        <v>1929</v>
      </c>
      <c r="F1" s="3">
        <v>1935</v>
      </c>
      <c r="I1" s="3">
        <v>1920</v>
      </c>
      <c r="J1" s="3">
        <v>1925</v>
      </c>
      <c r="K1" s="3">
        <v>1929</v>
      </c>
      <c r="L1" s="3">
        <v>1935</v>
      </c>
    </row>
    <row r="2" spans="1:12" ht="16" x14ac:dyDescent="0.2">
      <c r="A2" s="8" t="s">
        <v>317</v>
      </c>
      <c r="B2" s="16" t="s">
        <v>1223</v>
      </c>
      <c r="C2" s="1">
        <v>25.7</v>
      </c>
      <c r="D2" s="1">
        <v>8.9</v>
      </c>
      <c r="E2" s="1">
        <v>13</v>
      </c>
      <c r="F2" s="1">
        <v>12.5</v>
      </c>
      <c r="I2" s="1">
        <v>25.7</v>
      </c>
      <c r="J2" s="1">
        <f>(D2*0.25)+D2</f>
        <v>11.125</v>
      </c>
      <c r="K2" s="1">
        <f>(E2*0.45)+E2</f>
        <v>18.850000000000001</v>
      </c>
      <c r="L2" s="1">
        <f>(F2*0.75)+F2</f>
        <v>21.875</v>
      </c>
    </row>
    <row r="3" spans="1:12" ht="16" x14ac:dyDescent="0.2">
      <c r="A3" s="8" t="s">
        <v>318</v>
      </c>
      <c r="B3" s="16" t="s">
        <v>1224</v>
      </c>
      <c r="C3" s="1">
        <v>11.3</v>
      </c>
      <c r="D3" s="1">
        <v>9.6999999999999993</v>
      </c>
      <c r="E3" s="1">
        <v>8.4</v>
      </c>
      <c r="F3" s="1">
        <v>7.5</v>
      </c>
      <c r="I3" s="1">
        <v>11.3</v>
      </c>
      <c r="J3" s="1">
        <f t="shared" ref="J3:J14" si="0">(D3*0.25)+D3</f>
        <v>12.125</v>
      </c>
      <c r="K3" s="1">
        <f t="shared" ref="K3:K14" si="1">(E3*0.45)+E3</f>
        <v>12.18</v>
      </c>
      <c r="L3" s="1">
        <f t="shared" ref="L3:L14" si="2">(F3*0.75)+F3</f>
        <v>13.125</v>
      </c>
    </row>
    <row r="4" spans="1:12" ht="16" x14ac:dyDescent="0.2">
      <c r="A4" s="8" t="s">
        <v>320</v>
      </c>
      <c r="B4" s="16" t="s">
        <v>1225</v>
      </c>
      <c r="C4" s="1">
        <v>11.1</v>
      </c>
      <c r="D4" s="1">
        <v>5.8</v>
      </c>
      <c r="E4" s="1">
        <v>6.9</v>
      </c>
      <c r="F4" s="1">
        <v>3.6</v>
      </c>
      <c r="I4" s="1">
        <v>11.1</v>
      </c>
      <c r="J4" s="1">
        <f t="shared" si="0"/>
        <v>7.25</v>
      </c>
      <c r="K4" s="1">
        <f t="shared" si="1"/>
        <v>10.005000000000001</v>
      </c>
      <c r="L4" s="1">
        <f t="shared" si="2"/>
        <v>6.3000000000000007</v>
      </c>
    </row>
    <row r="5" spans="1:12" ht="16" x14ac:dyDescent="0.2">
      <c r="A5" s="8" t="s">
        <v>321</v>
      </c>
      <c r="B5" s="16" t="s">
        <v>1226</v>
      </c>
      <c r="C5" s="1">
        <v>9.6999999999999993</v>
      </c>
      <c r="D5" s="1">
        <v>13.7</v>
      </c>
      <c r="E5" s="1">
        <v>15</v>
      </c>
      <c r="F5" s="1">
        <v>14.3</v>
      </c>
      <c r="I5" s="1">
        <v>9.6999999999999993</v>
      </c>
      <c r="J5" s="1">
        <f t="shared" si="0"/>
        <v>17.125</v>
      </c>
      <c r="K5" s="1">
        <f t="shared" si="1"/>
        <v>21.75</v>
      </c>
      <c r="L5" s="1">
        <f t="shared" si="2"/>
        <v>25.025000000000002</v>
      </c>
    </row>
    <row r="6" spans="1:12" ht="16" x14ac:dyDescent="0.2">
      <c r="A6" s="8" t="s">
        <v>325</v>
      </c>
      <c r="B6" s="16" t="s">
        <v>1227</v>
      </c>
      <c r="C6" s="1">
        <v>8.1</v>
      </c>
      <c r="D6" s="1">
        <v>8.6</v>
      </c>
      <c r="E6" s="1">
        <v>10.4</v>
      </c>
      <c r="F6" s="1">
        <v>9.1999999999999993</v>
      </c>
      <c r="I6" s="1">
        <v>8.1</v>
      </c>
      <c r="J6" s="1">
        <f t="shared" si="0"/>
        <v>10.75</v>
      </c>
      <c r="K6" s="1">
        <f t="shared" si="1"/>
        <v>15.080000000000002</v>
      </c>
      <c r="L6" s="1">
        <f t="shared" si="2"/>
        <v>16.099999999999998</v>
      </c>
    </row>
    <row r="7" spans="1:12" ht="16" x14ac:dyDescent="0.2">
      <c r="A7" s="8" t="s">
        <v>468</v>
      </c>
      <c r="B7" s="16" t="s">
        <v>1228</v>
      </c>
      <c r="C7" s="1">
        <v>6.3</v>
      </c>
      <c r="D7" s="1">
        <v>4</v>
      </c>
      <c r="E7" s="1">
        <v>4.9000000000000004</v>
      </c>
      <c r="F7" s="1">
        <v>5.6</v>
      </c>
      <c r="I7" s="1">
        <v>6.3</v>
      </c>
      <c r="J7" s="1">
        <f t="shared" si="0"/>
        <v>5</v>
      </c>
      <c r="K7" s="1">
        <f t="shared" si="1"/>
        <v>7.1050000000000004</v>
      </c>
      <c r="L7" s="1">
        <f t="shared" si="2"/>
        <v>9.7999999999999989</v>
      </c>
    </row>
    <row r="8" spans="1:12" ht="16" x14ac:dyDescent="0.2">
      <c r="A8" s="8" t="s">
        <v>263</v>
      </c>
      <c r="B8" s="16" t="s">
        <v>1229</v>
      </c>
      <c r="C8" s="1">
        <v>5.3</v>
      </c>
      <c r="D8" s="1">
        <v>2.4</v>
      </c>
      <c r="E8" s="1">
        <v>2.8</v>
      </c>
      <c r="F8" s="1"/>
      <c r="I8" s="1">
        <v>5.3</v>
      </c>
      <c r="J8" s="1">
        <f t="shared" si="0"/>
        <v>3</v>
      </c>
      <c r="K8" s="1">
        <f t="shared" si="1"/>
        <v>4.0599999999999996</v>
      </c>
      <c r="L8" s="1"/>
    </row>
    <row r="9" spans="1:12" ht="16" x14ac:dyDescent="0.2">
      <c r="A9" s="8" t="s">
        <v>59</v>
      </c>
      <c r="B9" s="16" t="s">
        <v>1230</v>
      </c>
      <c r="C9" s="1">
        <v>3.9</v>
      </c>
      <c r="D9" s="1">
        <v>0.5</v>
      </c>
      <c r="E9" s="1"/>
      <c r="F9" s="1"/>
      <c r="I9" s="1">
        <v>3.9</v>
      </c>
      <c r="J9" s="1">
        <f t="shared" si="0"/>
        <v>0.625</v>
      </c>
      <c r="K9" s="1"/>
      <c r="L9" s="1"/>
    </row>
    <row r="10" spans="1:12" ht="16" x14ac:dyDescent="0.2">
      <c r="A10" s="8" t="s">
        <v>243</v>
      </c>
      <c r="B10" s="16" t="s">
        <v>1231</v>
      </c>
      <c r="C10" s="1">
        <v>3.9</v>
      </c>
      <c r="D10" s="1">
        <v>8</v>
      </c>
      <c r="E10" s="1">
        <v>5.4</v>
      </c>
      <c r="F10" s="1">
        <v>1.7</v>
      </c>
      <c r="I10" s="1">
        <v>3.9</v>
      </c>
      <c r="J10" s="1">
        <f t="shared" si="0"/>
        <v>10</v>
      </c>
      <c r="K10" s="1">
        <f t="shared" si="1"/>
        <v>7.83</v>
      </c>
      <c r="L10" s="1">
        <f t="shared" si="2"/>
        <v>2.9749999999999996</v>
      </c>
    </row>
    <row r="11" spans="1:12" ht="16" x14ac:dyDescent="0.2">
      <c r="A11" s="8" t="s">
        <v>322</v>
      </c>
      <c r="B11" s="16" t="s">
        <v>1232</v>
      </c>
      <c r="C11" s="1">
        <v>3.4</v>
      </c>
      <c r="D11" s="1">
        <v>4.4000000000000004</v>
      </c>
      <c r="E11" s="1">
        <v>4.7</v>
      </c>
      <c r="F11" s="1">
        <v>2</v>
      </c>
      <c r="I11" s="1">
        <v>3.4</v>
      </c>
      <c r="J11" s="1">
        <f t="shared" si="0"/>
        <v>5.5</v>
      </c>
      <c r="K11" s="1">
        <f t="shared" si="1"/>
        <v>6.8150000000000004</v>
      </c>
      <c r="L11" s="1">
        <f t="shared" si="2"/>
        <v>3.5</v>
      </c>
    </row>
    <row r="12" spans="1:12" ht="16" x14ac:dyDescent="0.2">
      <c r="A12" s="8" t="s">
        <v>323</v>
      </c>
      <c r="B12" s="16" t="s">
        <v>1233</v>
      </c>
      <c r="C12" s="1">
        <v>2.2999999999999998</v>
      </c>
      <c r="D12" s="1">
        <v>1.2</v>
      </c>
      <c r="E12" s="1">
        <v>3.5</v>
      </c>
      <c r="F12" s="1">
        <v>3.5</v>
      </c>
      <c r="I12" s="1">
        <v>2.2999999999999998</v>
      </c>
      <c r="J12" s="1">
        <f t="shared" si="0"/>
        <v>1.5</v>
      </c>
      <c r="K12" s="1">
        <f t="shared" si="1"/>
        <v>5.0750000000000002</v>
      </c>
      <c r="L12" s="1">
        <f t="shared" si="2"/>
        <v>6.125</v>
      </c>
    </row>
    <row r="13" spans="1:12" ht="16" x14ac:dyDescent="0.2">
      <c r="A13" s="8" t="s">
        <v>319</v>
      </c>
      <c r="B13" s="16" t="s">
        <v>1234</v>
      </c>
      <c r="C13" s="1">
        <v>2</v>
      </c>
      <c r="D13" s="1">
        <v>4</v>
      </c>
      <c r="E13" s="1">
        <v>3.9</v>
      </c>
      <c r="F13" s="1">
        <v>5.4</v>
      </c>
      <c r="I13" s="1">
        <v>2</v>
      </c>
      <c r="J13" s="1">
        <f t="shared" si="0"/>
        <v>5</v>
      </c>
      <c r="K13" s="1">
        <f t="shared" si="1"/>
        <v>5.6549999999999994</v>
      </c>
      <c r="L13" s="1">
        <f t="shared" si="2"/>
        <v>9.4500000000000011</v>
      </c>
    </row>
    <row r="14" spans="1:12" ht="16" x14ac:dyDescent="0.2">
      <c r="A14" s="8" t="s">
        <v>326</v>
      </c>
      <c r="B14" s="16" t="s">
        <v>1235</v>
      </c>
      <c r="D14" s="3">
        <v>6.9</v>
      </c>
      <c r="E14" s="1">
        <v>5.8</v>
      </c>
      <c r="F14" s="1">
        <v>6.9</v>
      </c>
      <c r="I14" s="1"/>
      <c r="J14" s="1">
        <f t="shared" si="0"/>
        <v>8.625</v>
      </c>
      <c r="K14" s="1">
        <f t="shared" si="1"/>
        <v>8.41</v>
      </c>
      <c r="L14" s="1">
        <f t="shared" si="2"/>
        <v>12.075000000000001</v>
      </c>
    </row>
    <row r="15" spans="1:12" ht="16" x14ac:dyDescent="0.2">
      <c r="A15" s="8" t="s">
        <v>106</v>
      </c>
      <c r="B15" s="16" t="s">
        <v>1236</v>
      </c>
      <c r="D15" s="3"/>
      <c r="E15" s="1"/>
      <c r="F15" s="1">
        <v>15.2</v>
      </c>
      <c r="I15" s="1"/>
      <c r="J15" s="1"/>
      <c r="K15" s="1"/>
      <c r="L15" s="1">
        <v>15.2</v>
      </c>
    </row>
    <row r="16" spans="1:12" ht="16" x14ac:dyDescent="0.2">
      <c r="A16" s="8" t="s">
        <v>324</v>
      </c>
      <c r="B16" s="16" t="s">
        <v>1237</v>
      </c>
      <c r="D16" s="1">
        <v>12.9</v>
      </c>
      <c r="E16" s="1">
        <v>10.199999999999999</v>
      </c>
      <c r="F16" s="1">
        <v>10.3</v>
      </c>
      <c r="I16" s="1"/>
      <c r="J16" s="1">
        <v>12.9</v>
      </c>
      <c r="K16" s="1">
        <f>(E16*0.25)+E16</f>
        <v>12.75</v>
      </c>
      <c r="L16" s="1">
        <f>(F16*0.55)+F16</f>
        <v>15.965000000000002</v>
      </c>
    </row>
    <row r="17" spans="1:14" ht="16" x14ac:dyDescent="0.2">
      <c r="A17" s="8" t="s">
        <v>327</v>
      </c>
      <c r="B17" s="16" t="s">
        <v>1238</v>
      </c>
      <c r="D17" s="1">
        <v>3.4</v>
      </c>
      <c r="E17" s="1">
        <v>2.6</v>
      </c>
      <c r="I17" s="1"/>
      <c r="J17" s="1">
        <v>3.4</v>
      </c>
      <c r="K17" s="1">
        <f>(E17*0.25)+E17</f>
        <v>3.25</v>
      </c>
      <c r="L17" s="1"/>
      <c r="N17" s="4"/>
    </row>
    <row r="18" spans="1:14" x14ac:dyDescent="0.2">
      <c r="H18" s="3" t="s">
        <v>14</v>
      </c>
      <c r="I18" s="1">
        <f>SUM(I2:I17)</f>
        <v>93</v>
      </c>
      <c r="J18" s="1">
        <f>SUM(J2:J17)</f>
        <v>113.92500000000001</v>
      </c>
      <c r="K18" s="1">
        <f t="shared" ref="K18:L18" si="3">SUM(K2:K17)</f>
        <v>138.815</v>
      </c>
      <c r="L18" s="1">
        <f t="shared" si="3"/>
        <v>157.51499999999999</v>
      </c>
      <c r="M18" s="1"/>
      <c r="N18" s="5"/>
    </row>
    <row r="19" spans="1:14" x14ac:dyDescent="0.2">
      <c r="M19" s="1"/>
    </row>
    <row r="20" spans="1:14" x14ac:dyDescent="0.2">
      <c r="I20" s="1">
        <v>100</v>
      </c>
      <c r="J20" s="1">
        <v>125</v>
      </c>
      <c r="K20" s="1">
        <v>145</v>
      </c>
      <c r="L20" s="1">
        <v>175</v>
      </c>
      <c r="M20" s="1"/>
    </row>
    <row r="22" spans="1:14" x14ac:dyDescent="0.2">
      <c r="I22" s="1">
        <f>I18</f>
        <v>93</v>
      </c>
      <c r="J22" s="1">
        <f>SUM(I22+J18)</f>
        <v>206.92500000000001</v>
      </c>
      <c r="K22" s="1">
        <f>SUM(J22+K18)</f>
        <v>345.74</v>
      </c>
      <c r="L22" s="1">
        <f>SUM(K22+L18)</f>
        <v>503.255</v>
      </c>
    </row>
    <row r="23" spans="1:14" x14ac:dyDescent="0.2">
      <c r="I23" s="3"/>
      <c r="J23" s="3"/>
      <c r="K23" s="3"/>
      <c r="L23" s="3"/>
    </row>
    <row r="24" spans="1:14" x14ac:dyDescent="0.2">
      <c r="I24" s="1">
        <v>100</v>
      </c>
      <c r="J24" s="1">
        <f>SUM(I24+J20)</f>
        <v>225</v>
      </c>
      <c r="K24" s="1">
        <f>SUM(J24+K20)</f>
        <v>370</v>
      </c>
      <c r="L24" s="1">
        <f>SUM(K24+L20)</f>
        <v>545</v>
      </c>
    </row>
    <row r="26" spans="1:14" ht="16" x14ac:dyDescent="0.2">
      <c r="A26" s="21"/>
      <c r="B26" s="21"/>
      <c r="C26" s="16"/>
      <c r="I26" s="4" t="s">
        <v>1563</v>
      </c>
      <c r="J26" s="4" t="s">
        <v>1563</v>
      </c>
      <c r="K26" s="4" t="s">
        <v>1563</v>
      </c>
      <c r="L26" s="4" t="s">
        <v>1563</v>
      </c>
    </row>
    <row r="27" spans="1:14" ht="16" x14ac:dyDescent="0.2">
      <c r="A27" s="21"/>
      <c r="B27" s="21"/>
      <c r="C27" s="16"/>
      <c r="I27" s="6">
        <f>(I22/I24)*100</f>
        <v>93</v>
      </c>
      <c r="J27" s="6">
        <f>(J22/J24)*100</f>
        <v>91.966666666666669</v>
      </c>
      <c r="K27" s="6">
        <f>(K22/K24)*100</f>
        <v>93.443243243243245</v>
      </c>
      <c r="L27" s="6">
        <f>(L22/L24)*100</f>
        <v>92.340366972477057</v>
      </c>
    </row>
    <row r="28" spans="1:14" ht="16" x14ac:dyDescent="0.2">
      <c r="A28" s="21"/>
      <c r="B28" s="21"/>
      <c r="C28" s="16"/>
    </row>
    <row r="29" spans="1:14" ht="16" x14ac:dyDescent="0.2">
      <c r="A29" s="21"/>
      <c r="B29" s="21"/>
      <c r="C29" s="16"/>
    </row>
    <row r="30" spans="1:14" ht="16" x14ac:dyDescent="0.2">
      <c r="A30" s="21"/>
      <c r="B30" s="21"/>
      <c r="C30" s="16"/>
    </row>
    <row r="31" spans="1:14" ht="16" x14ac:dyDescent="0.2">
      <c r="A31" s="21"/>
      <c r="B31" s="21"/>
      <c r="C31" s="16"/>
    </row>
    <row r="32" spans="1:14" ht="16" x14ac:dyDescent="0.2">
      <c r="A32" s="21"/>
      <c r="B32" s="21"/>
      <c r="C32" s="16"/>
    </row>
    <row r="33" spans="1:3" ht="16" x14ac:dyDescent="0.2">
      <c r="A33" s="21"/>
      <c r="B33" s="21"/>
      <c r="C33" s="16"/>
    </row>
    <row r="34" spans="1:3" ht="16" x14ac:dyDescent="0.2">
      <c r="A34" s="21"/>
      <c r="B34" s="21"/>
      <c r="C34" s="16"/>
    </row>
    <row r="35" spans="1:3" ht="16" x14ac:dyDescent="0.2">
      <c r="A35" s="21"/>
      <c r="B35" s="21"/>
      <c r="C35" s="16"/>
    </row>
    <row r="36" spans="1:3" ht="16" x14ac:dyDescent="0.2">
      <c r="A36" s="21"/>
      <c r="B36" s="21"/>
      <c r="C36" s="16"/>
    </row>
    <row r="37" spans="1:3" ht="16" x14ac:dyDescent="0.2">
      <c r="A37" s="21"/>
      <c r="B37" s="21"/>
      <c r="C37" s="16"/>
    </row>
    <row r="38" spans="1:3" ht="16" x14ac:dyDescent="0.2">
      <c r="A38" s="21"/>
      <c r="B38" s="21"/>
      <c r="C38" s="16"/>
    </row>
    <row r="39" spans="1:3" ht="16" x14ac:dyDescent="0.2">
      <c r="A39" s="21"/>
      <c r="B39" s="21"/>
      <c r="C39" s="16"/>
    </row>
    <row r="40" spans="1:3" ht="16" x14ac:dyDescent="0.2">
      <c r="A40" s="21"/>
      <c r="B40" s="21"/>
      <c r="C40" s="16"/>
    </row>
    <row r="41" spans="1:3" ht="16" x14ac:dyDescent="0.2">
      <c r="A41" s="21"/>
      <c r="B41" s="21"/>
      <c r="C41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9F07-98C1-564C-8DF2-6E7FB25A2913}">
  <dimension ref="A1:G31"/>
  <sheetViews>
    <sheetView workbookViewId="0">
      <selection activeCell="E16" sqref="E16"/>
    </sheetView>
  </sheetViews>
  <sheetFormatPr baseColWidth="10" defaultRowHeight="15" x14ac:dyDescent="0.2"/>
  <cols>
    <col min="2" max="2" width="48.1640625" customWidth="1"/>
  </cols>
  <sheetData>
    <row r="1" spans="1:7" ht="16" x14ac:dyDescent="0.2">
      <c r="A1" s="3" t="s">
        <v>15</v>
      </c>
      <c r="B1" s="24" t="s">
        <v>681</v>
      </c>
      <c r="C1" s="3">
        <v>1946</v>
      </c>
      <c r="E1" s="3">
        <v>1946</v>
      </c>
    </row>
    <row r="2" spans="1:7" ht="16" x14ac:dyDescent="0.2">
      <c r="A2" s="25" t="s">
        <v>324</v>
      </c>
      <c r="B2" s="16" t="s">
        <v>1237</v>
      </c>
      <c r="C2" s="1">
        <v>31.2</v>
      </c>
      <c r="E2" s="1">
        <v>31.2</v>
      </c>
      <c r="G2" s="4"/>
    </row>
    <row r="3" spans="1:7" ht="16" x14ac:dyDescent="0.2">
      <c r="A3" s="8" t="s">
        <v>325</v>
      </c>
      <c r="B3" s="16" t="s">
        <v>1227</v>
      </c>
      <c r="C3" s="1">
        <v>18.399999999999999</v>
      </c>
      <c r="E3" s="1">
        <v>18.399999999999999</v>
      </c>
      <c r="G3" s="4"/>
    </row>
    <row r="4" spans="1:7" ht="16" x14ac:dyDescent="0.2">
      <c r="A4" s="8" t="s">
        <v>318</v>
      </c>
      <c r="B4" s="16" t="s">
        <v>1224</v>
      </c>
      <c r="C4" s="1">
        <v>15.7</v>
      </c>
      <c r="E4" s="1">
        <v>15.7</v>
      </c>
      <c r="G4" s="4"/>
    </row>
    <row r="5" spans="1:7" ht="16" x14ac:dyDescent="0.2">
      <c r="A5" s="8" t="s">
        <v>198</v>
      </c>
      <c r="B5" s="16" t="s">
        <v>744</v>
      </c>
      <c r="C5" s="1">
        <v>14.1</v>
      </c>
      <c r="E5" s="1">
        <v>14.1</v>
      </c>
      <c r="G5" s="4"/>
    </row>
    <row r="6" spans="1:7" ht="16" x14ac:dyDescent="0.2">
      <c r="A6" s="8" t="s">
        <v>50</v>
      </c>
      <c r="B6" s="16" t="s">
        <v>1451</v>
      </c>
      <c r="C6" s="1">
        <v>12.1</v>
      </c>
      <c r="E6" s="1">
        <v>12.1</v>
      </c>
      <c r="G6" s="4"/>
    </row>
    <row r="7" spans="1:7" ht="16" x14ac:dyDescent="0.2">
      <c r="A7" s="8" t="s">
        <v>586</v>
      </c>
      <c r="B7" s="16" t="s">
        <v>835</v>
      </c>
      <c r="C7" s="1">
        <v>6.9</v>
      </c>
      <c r="E7" s="1">
        <v>6.9</v>
      </c>
      <c r="G7" s="4"/>
    </row>
    <row r="8" spans="1:7" x14ac:dyDescent="0.2">
      <c r="D8" s="3" t="s">
        <v>14</v>
      </c>
      <c r="E8" s="1">
        <f>SUM(E2:E7)</f>
        <v>98.399999999999991</v>
      </c>
      <c r="F8" s="1"/>
      <c r="G8" s="5"/>
    </row>
    <row r="9" spans="1:7" x14ac:dyDescent="0.2">
      <c r="F9" s="1"/>
    </row>
    <row r="10" spans="1:7" x14ac:dyDescent="0.2">
      <c r="E10" s="1">
        <v>100</v>
      </c>
      <c r="F10" s="1"/>
    </row>
    <row r="12" spans="1:7" x14ac:dyDescent="0.2">
      <c r="E12" s="1">
        <f>E8</f>
        <v>98.399999999999991</v>
      </c>
    </row>
    <row r="13" spans="1:7" x14ac:dyDescent="0.2">
      <c r="E13" s="3"/>
    </row>
    <row r="14" spans="1:7" x14ac:dyDescent="0.2">
      <c r="E14" s="1">
        <v>100</v>
      </c>
    </row>
    <row r="16" spans="1:7" ht="16" x14ac:dyDescent="0.2">
      <c r="A16" s="21"/>
      <c r="B16" s="21"/>
      <c r="C16" s="16"/>
      <c r="E16" s="4" t="s">
        <v>1563</v>
      </c>
    </row>
    <row r="17" spans="1:5" ht="16" x14ac:dyDescent="0.2">
      <c r="A17" s="21"/>
      <c r="B17" s="21"/>
      <c r="C17" s="16"/>
      <c r="E17" s="6">
        <f>(E12/E14)*100</f>
        <v>98.399999999999991</v>
      </c>
    </row>
    <row r="18" spans="1:5" ht="16" x14ac:dyDescent="0.2">
      <c r="A18" s="21"/>
      <c r="B18" s="21"/>
      <c r="C18" s="16"/>
    </row>
    <row r="19" spans="1:5" ht="16" x14ac:dyDescent="0.2">
      <c r="A19" s="21"/>
      <c r="B19" s="21"/>
      <c r="C19" s="16"/>
    </row>
    <row r="20" spans="1:5" ht="16" x14ac:dyDescent="0.2">
      <c r="A20" s="21"/>
      <c r="B20" s="21"/>
      <c r="C20" s="16"/>
    </row>
    <row r="21" spans="1:5" ht="16" x14ac:dyDescent="0.2">
      <c r="A21" s="21"/>
      <c r="B21" s="21"/>
      <c r="C21" s="16"/>
    </row>
    <row r="22" spans="1:5" ht="16" x14ac:dyDescent="0.2">
      <c r="A22" s="21"/>
      <c r="B22" s="21"/>
      <c r="C22" s="16"/>
    </row>
    <row r="23" spans="1:5" ht="16" x14ac:dyDescent="0.2">
      <c r="A23" s="21"/>
      <c r="B23" s="21"/>
      <c r="C23" s="16"/>
    </row>
    <row r="24" spans="1:5" ht="16" x14ac:dyDescent="0.2">
      <c r="A24" s="21"/>
      <c r="B24" s="21"/>
      <c r="C24" s="16"/>
    </row>
    <row r="25" spans="1:5" ht="16" x14ac:dyDescent="0.2">
      <c r="A25" s="21"/>
      <c r="B25" s="21"/>
      <c r="C25" s="16"/>
    </row>
    <row r="26" spans="1:5" ht="16" x14ac:dyDescent="0.2">
      <c r="A26" s="21"/>
      <c r="B26" s="21"/>
      <c r="C26" s="16"/>
    </row>
    <row r="27" spans="1:5" ht="16" x14ac:dyDescent="0.2">
      <c r="A27" s="21"/>
      <c r="B27" s="21"/>
      <c r="C27" s="16"/>
    </row>
    <row r="28" spans="1:5" ht="16" x14ac:dyDescent="0.2">
      <c r="A28" s="21"/>
      <c r="B28" s="21"/>
      <c r="C28" s="16"/>
    </row>
    <row r="29" spans="1:5" ht="16" x14ac:dyDescent="0.2">
      <c r="A29" s="21"/>
      <c r="B29" s="21"/>
      <c r="C29" s="16"/>
    </row>
    <row r="30" spans="1:5" ht="16" x14ac:dyDescent="0.2">
      <c r="A30" s="21"/>
      <c r="B30" s="21"/>
      <c r="C30" s="16"/>
    </row>
    <row r="31" spans="1:5" ht="16" x14ac:dyDescent="0.2">
      <c r="A31" s="21"/>
      <c r="B31" s="21"/>
      <c r="C31" s="16"/>
    </row>
  </sheetData>
  <pageMargins left="0.7" right="0.7" top="0.75" bottom="0.75" header="0.3" footer="0.3"/>
  <pageSetup paperSize="9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54"/>
  <sheetViews>
    <sheetView topLeftCell="C1" workbookViewId="0">
      <selection activeCell="M33" sqref="M33:U33"/>
    </sheetView>
  </sheetViews>
  <sheetFormatPr baseColWidth="10" defaultRowHeight="15" x14ac:dyDescent="0.2"/>
  <cols>
    <col min="2" max="2" width="56.83203125" customWidth="1"/>
  </cols>
  <sheetData>
    <row r="1" spans="1:21" ht="16" x14ac:dyDescent="0.2">
      <c r="A1" s="3" t="s">
        <v>15</v>
      </c>
      <c r="B1" s="24" t="s">
        <v>681</v>
      </c>
      <c r="C1" s="3">
        <v>1992</v>
      </c>
      <c r="D1" s="3">
        <v>1996</v>
      </c>
      <c r="E1" s="3">
        <v>1998</v>
      </c>
      <c r="F1" s="3">
        <v>2002</v>
      </c>
      <c r="G1" s="3">
        <v>2006</v>
      </c>
      <c r="H1" s="3">
        <v>2010</v>
      </c>
      <c r="I1" s="3">
        <v>2013</v>
      </c>
      <c r="J1" s="3">
        <v>2017</v>
      </c>
      <c r="K1" s="3">
        <v>2021</v>
      </c>
      <c r="M1" s="3">
        <v>1992</v>
      </c>
      <c r="N1" s="3">
        <v>1996</v>
      </c>
      <c r="O1" s="3">
        <v>1998</v>
      </c>
      <c r="P1" s="3">
        <v>2002</v>
      </c>
      <c r="Q1" s="3">
        <v>2006</v>
      </c>
      <c r="R1" s="3">
        <v>2010</v>
      </c>
      <c r="S1" s="3">
        <v>2013</v>
      </c>
      <c r="T1" s="3">
        <v>2017</v>
      </c>
      <c r="U1" s="3">
        <v>2021</v>
      </c>
    </row>
    <row r="2" spans="1:21" ht="16" x14ac:dyDescent="0.2">
      <c r="A2" s="8" t="s">
        <v>49</v>
      </c>
      <c r="B2" s="16" t="s">
        <v>1207</v>
      </c>
      <c r="C2" s="1">
        <v>29.7</v>
      </c>
      <c r="D2" s="1">
        <v>29.6</v>
      </c>
      <c r="E2" s="1">
        <v>27.7</v>
      </c>
      <c r="F2" s="1">
        <v>24.5</v>
      </c>
      <c r="G2" s="1">
        <v>35.4</v>
      </c>
      <c r="H2" s="1">
        <v>20.2</v>
      </c>
      <c r="I2" s="1">
        <v>7.7</v>
      </c>
      <c r="J2" s="1">
        <v>11.3</v>
      </c>
      <c r="K2" s="1">
        <v>27.8</v>
      </c>
      <c r="M2" s="1">
        <v>29.7</v>
      </c>
      <c r="N2" s="1">
        <f>(D2*0.2)+D2</f>
        <v>35.520000000000003</v>
      </c>
      <c r="O2" s="1">
        <f>(E2*0.3)+E2</f>
        <v>36.01</v>
      </c>
      <c r="P2" s="1">
        <f>(F2*0.5)+F2</f>
        <v>36.75</v>
      </c>
      <c r="Q2" s="1">
        <f>(G2*0.7)+G2</f>
        <v>60.179999999999993</v>
      </c>
      <c r="R2" s="1">
        <f>(H2*0.9)+H2</f>
        <v>38.379999999999995</v>
      </c>
      <c r="S2" s="1">
        <f>(I2*1.05)+I2</f>
        <v>15.785</v>
      </c>
      <c r="T2" s="1">
        <f>(J2*1.25)+J2</f>
        <v>25.425000000000001</v>
      </c>
      <c r="U2" s="1">
        <f>(K2*1.45)+K2</f>
        <v>68.11</v>
      </c>
    </row>
    <row r="3" spans="1:21" ht="16" x14ac:dyDescent="0.2">
      <c r="A3" s="8" t="s">
        <v>50</v>
      </c>
      <c r="B3" s="16" t="s">
        <v>1208</v>
      </c>
      <c r="C3" s="1">
        <v>6.5</v>
      </c>
      <c r="D3" s="1">
        <v>26.4</v>
      </c>
      <c r="E3" s="1">
        <v>32.299999999999997</v>
      </c>
      <c r="F3" s="1">
        <v>30.2</v>
      </c>
      <c r="G3" s="1">
        <v>32.299999999999997</v>
      </c>
      <c r="H3" s="1">
        <v>22.1</v>
      </c>
      <c r="I3" s="1">
        <v>20.5</v>
      </c>
      <c r="J3" s="1">
        <v>7.3</v>
      </c>
      <c r="K3" s="1">
        <v>4.7</v>
      </c>
      <c r="M3" s="1">
        <v>6.5</v>
      </c>
      <c r="N3" s="1">
        <f t="shared" ref="N3:N21" si="0">(D3*0.2)+D3</f>
        <v>31.68</v>
      </c>
      <c r="O3" s="1">
        <f t="shared" ref="O3:O10" si="1">(E3*0.3)+E3</f>
        <v>41.989999999999995</v>
      </c>
      <c r="P3" s="1">
        <f t="shared" ref="P3:P10" si="2">(F3*0.5)+F3</f>
        <v>45.3</v>
      </c>
      <c r="Q3" s="1">
        <f t="shared" ref="Q3:Q7" si="3">(G3*0.7)+G3</f>
        <v>54.91</v>
      </c>
      <c r="R3" s="1">
        <f t="shared" ref="R3:R7" si="4">(H3*0.9)+H3</f>
        <v>41.99</v>
      </c>
      <c r="S3" s="1">
        <f t="shared" ref="S3:S7" si="5">(I3*1.05)+I3</f>
        <v>42.025000000000006</v>
      </c>
      <c r="T3" s="1">
        <f t="shared" ref="T3:T7" si="6">(J3*1.25)+J3</f>
        <v>16.425000000000001</v>
      </c>
      <c r="U3" s="1">
        <f t="shared" ref="U3:U7" si="7">(K3*1.45)+K3</f>
        <v>11.515000000000001</v>
      </c>
    </row>
    <row r="4" spans="1:21" ht="16" x14ac:dyDescent="0.2">
      <c r="A4" s="8" t="s">
        <v>51</v>
      </c>
      <c r="B4" s="16" t="s">
        <v>1209</v>
      </c>
      <c r="C4" s="1">
        <v>14.1</v>
      </c>
      <c r="D4" s="1">
        <v>10.3</v>
      </c>
      <c r="E4" s="1">
        <v>11</v>
      </c>
      <c r="F4" s="1">
        <v>18.5</v>
      </c>
      <c r="G4" s="1">
        <v>12.8</v>
      </c>
      <c r="H4" s="1">
        <v>11.3</v>
      </c>
      <c r="I4" s="1">
        <v>14.9</v>
      </c>
      <c r="J4" s="1">
        <v>7.8</v>
      </c>
      <c r="K4" s="1">
        <v>3.6</v>
      </c>
      <c r="M4" s="1">
        <v>14.1</v>
      </c>
      <c r="N4" s="1">
        <f t="shared" si="0"/>
        <v>12.360000000000001</v>
      </c>
      <c r="O4" s="1">
        <f t="shared" si="1"/>
        <v>14.3</v>
      </c>
      <c r="P4" s="1">
        <f t="shared" si="2"/>
        <v>27.75</v>
      </c>
      <c r="Q4" s="1">
        <f t="shared" si="3"/>
        <v>21.759999999999998</v>
      </c>
      <c r="R4" s="1">
        <f t="shared" si="4"/>
        <v>21.470000000000002</v>
      </c>
      <c r="S4" s="1">
        <f t="shared" si="5"/>
        <v>30.545000000000002</v>
      </c>
      <c r="T4" s="1">
        <f t="shared" si="6"/>
        <v>17.55</v>
      </c>
      <c r="U4" s="1">
        <f t="shared" si="7"/>
        <v>8.82</v>
      </c>
    </row>
    <row r="5" spans="1:21" ht="16" x14ac:dyDescent="0.2">
      <c r="A5" s="8" t="s">
        <v>52</v>
      </c>
      <c r="B5" s="16" t="s">
        <v>1210</v>
      </c>
      <c r="C5" s="1">
        <v>6.3</v>
      </c>
      <c r="D5" s="1">
        <v>8.1</v>
      </c>
      <c r="E5" s="1">
        <v>9</v>
      </c>
      <c r="F5" s="1">
        <v>14.3</v>
      </c>
      <c r="G5" s="1">
        <v>7.2</v>
      </c>
      <c r="H5" s="1">
        <v>4.4000000000000004</v>
      </c>
      <c r="I5" s="1">
        <v>6.8</v>
      </c>
      <c r="J5" s="1">
        <v>5.8</v>
      </c>
      <c r="K5" s="8"/>
      <c r="M5" s="1">
        <v>6.3</v>
      </c>
      <c r="N5" s="1">
        <f t="shared" si="0"/>
        <v>9.7199999999999989</v>
      </c>
      <c r="O5" s="1">
        <f t="shared" si="1"/>
        <v>11.7</v>
      </c>
      <c r="P5" s="1">
        <f t="shared" si="2"/>
        <v>21.450000000000003</v>
      </c>
      <c r="Q5" s="1">
        <f t="shared" si="3"/>
        <v>12.24</v>
      </c>
      <c r="R5" s="1">
        <f t="shared" si="4"/>
        <v>8.3600000000000012</v>
      </c>
      <c r="S5" s="1">
        <f t="shared" si="5"/>
        <v>13.94</v>
      </c>
      <c r="T5" s="1">
        <f t="shared" si="6"/>
        <v>13.05</v>
      </c>
      <c r="U5" s="1"/>
    </row>
    <row r="6" spans="1:21" ht="16" x14ac:dyDescent="0.2">
      <c r="A6" s="8" t="s">
        <v>53</v>
      </c>
      <c r="B6" s="16" t="s">
        <v>1211</v>
      </c>
      <c r="C6" s="1">
        <v>6</v>
      </c>
      <c r="D6" s="1">
        <v>8</v>
      </c>
      <c r="E6" s="1">
        <v>3.9</v>
      </c>
      <c r="F6" s="1">
        <v>1</v>
      </c>
      <c r="H6" s="1"/>
      <c r="I6" s="1"/>
      <c r="J6" s="1"/>
      <c r="K6" s="8"/>
      <c r="M6" s="1">
        <v>6</v>
      </c>
      <c r="N6" s="1">
        <f t="shared" si="0"/>
        <v>9.6</v>
      </c>
      <c r="O6" s="1">
        <f t="shared" si="1"/>
        <v>5.07</v>
      </c>
      <c r="P6" s="1">
        <f t="shared" si="2"/>
        <v>1.5</v>
      </c>
      <c r="Q6" s="1"/>
      <c r="R6" s="1"/>
      <c r="S6" s="1"/>
      <c r="T6" s="1"/>
      <c r="U6" s="1"/>
    </row>
    <row r="7" spans="1:21" ht="16" x14ac:dyDescent="0.2">
      <c r="A7" s="8" t="s">
        <v>470</v>
      </c>
      <c r="B7" s="16" t="s">
        <v>773</v>
      </c>
      <c r="C7" s="1"/>
      <c r="D7" s="1"/>
      <c r="E7" s="3">
        <v>1.1000000000000001</v>
      </c>
      <c r="F7" s="1">
        <v>2.4</v>
      </c>
      <c r="G7" s="1">
        <v>6.3</v>
      </c>
      <c r="H7" s="1">
        <v>2.4</v>
      </c>
      <c r="I7" s="1">
        <v>3.2</v>
      </c>
      <c r="J7" s="1">
        <v>1.5</v>
      </c>
      <c r="K7" s="1">
        <v>1</v>
      </c>
      <c r="M7" s="1"/>
      <c r="N7" s="1"/>
      <c r="O7" s="1">
        <f t="shared" si="1"/>
        <v>1.4300000000000002</v>
      </c>
      <c r="P7" s="1">
        <f t="shared" si="2"/>
        <v>3.5999999999999996</v>
      </c>
      <c r="Q7" s="1">
        <f t="shared" si="3"/>
        <v>10.709999999999999</v>
      </c>
      <c r="R7" s="1">
        <f t="shared" si="4"/>
        <v>4.5600000000000005</v>
      </c>
      <c r="S7" s="1">
        <f t="shared" si="5"/>
        <v>6.5600000000000005</v>
      </c>
      <c r="T7" s="1">
        <f t="shared" si="6"/>
        <v>3.375</v>
      </c>
      <c r="U7" s="1">
        <f t="shared" si="7"/>
        <v>2.4500000000000002</v>
      </c>
    </row>
    <row r="8" spans="1:21" ht="16" x14ac:dyDescent="0.2">
      <c r="A8" s="8" t="s">
        <v>476</v>
      </c>
      <c r="B8" s="16" t="s">
        <v>1212</v>
      </c>
      <c r="C8" s="1"/>
      <c r="D8" s="1"/>
      <c r="E8" s="1"/>
      <c r="F8" s="1"/>
      <c r="H8" s="1">
        <v>10.9</v>
      </c>
      <c r="I8" s="1"/>
      <c r="J8" s="1"/>
      <c r="K8" s="8"/>
      <c r="M8" s="1"/>
      <c r="N8" s="1"/>
      <c r="O8" s="1"/>
      <c r="P8" s="1"/>
      <c r="Q8" s="1"/>
      <c r="R8" s="1">
        <v>10.9</v>
      </c>
      <c r="S8" s="1"/>
      <c r="T8" s="1"/>
    </row>
    <row r="9" spans="1:21" ht="16" x14ac:dyDescent="0.2">
      <c r="A9" s="8" t="s">
        <v>472</v>
      </c>
      <c r="B9" s="16" t="s">
        <v>1102</v>
      </c>
      <c r="C9" s="1">
        <v>6.5</v>
      </c>
      <c r="D9" s="1"/>
      <c r="E9" s="1"/>
      <c r="F9" s="1"/>
      <c r="H9" s="1"/>
      <c r="I9" s="1"/>
      <c r="J9" s="1"/>
      <c r="K9" s="8"/>
      <c r="M9" s="1">
        <v>6.5</v>
      </c>
      <c r="N9" s="1"/>
      <c r="O9" s="1"/>
      <c r="P9" s="1"/>
      <c r="Q9" s="1"/>
      <c r="R9" s="1"/>
      <c r="S9" s="1"/>
      <c r="T9" s="1"/>
    </row>
    <row r="10" spans="1:21" ht="16" x14ac:dyDescent="0.2">
      <c r="A10" s="8" t="s">
        <v>471</v>
      </c>
      <c r="B10" s="16" t="s">
        <v>1213</v>
      </c>
      <c r="C10" s="1">
        <v>3.8</v>
      </c>
      <c r="D10" s="1">
        <v>3.4</v>
      </c>
      <c r="E10" s="1">
        <v>3.1</v>
      </c>
      <c r="F10" s="1">
        <v>0.9</v>
      </c>
      <c r="H10" s="1"/>
      <c r="I10" s="1"/>
      <c r="J10" s="1"/>
      <c r="K10" s="8"/>
      <c r="M10" s="1">
        <v>3.8</v>
      </c>
      <c r="N10" s="1">
        <f>(D10*0.2)+D10</f>
        <v>4.08</v>
      </c>
      <c r="O10" s="1">
        <f t="shared" si="1"/>
        <v>4.03</v>
      </c>
      <c r="P10" s="1">
        <f t="shared" si="2"/>
        <v>1.35</v>
      </c>
      <c r="Q10" s="1"/>
      <c r="R10" s="1"/>
      <c r="S10" s="1"/>
      <c r="T10" s="1"/>
    </row>
    <row r="11" spans="1:21" ht="16" x14ac:dyDescent="0.2">
      <c r="A11" s="8" t="s">
        <v>474</v>
      </c>
      <c r="B11" s="16" t="s">
        <v>1214</v>
      </c>
      <c r="C11" s="1">
        <v>4.5999999999999996</v>
      </c>
      <c r="D11" s="1"/>
      <c r="E11" s="1"/>
      <c r="F11" s="1"/>
      <c r="H11" s="1"/>
      <c r="I11" s="1"/>
      <c r="J11" s="1"/>
      <c r="K11" s="8"/>
      <c r="M11" s="1">
        <v>4.5999999999999996</v>
      </c>
      <c r="N11" s="1"/>
      <c r="O11" s="1"/>
      <c r="P11" s="1"/>
      <c r="Q11" s="1"/>
      <c r="R11" s="1"/>
      <c r="S11" s="1"/>
      <c r="T11" s="1"/>
    </row>
    <row r="12" spans="1:21" ht="16" x14ac:dyDescent="0.2">
      <c r="A12" s="8" t="s">
        <v>1337</v>
      </c>
      <c r="B12" s="16" t="s">
        <v>1338</v>
      </c>
      <c r="C12" s="1"/>
      <c r="D12" s="1"/>
      <c r="E12" s="1"/>
      <c r="F12" s="1"/>
      <c r="H12" s="1">
        <v>0.8</v>
      </c>
      <c r="I12" s="1">
        <v>2.7</v>
      </c>
      <c r="J12" s="1">
        <v>10.8</v>
      </c>
      <c r="K12" s="1">
        <v>15.6</v>
      </c>
      <c r="M12" s="1"/>
      <c r="N12" s="1"/>
      <c r="O12" s="1"/>
      <c r="P12" s="1"/>
      <c r="Q12" s="1"/>
      <c r="R12" s="1">
        <v>0.8</v>
      </c>
      <c r="S12" s="1">
        <f>(I12*0.15)+I12</f>
        <v>3.1050000000000004</v>
      </c>
      <c r="T12" s="1">
        <f>(J12*0.35)+J12</f>
        <v>14.58</v>
      </c>
      <c r="U12" s="1">
        <f>(K12*0.55)+K12</f>
        <v>24.18</v>
      </c>
    </row>
    <row r="13" spans="1:21" ht="16" x14ac:dyDescent="0.2">
      <c r="A13" s="8" t="s">
        <v>477</v>
      </c>
      <c r="B13" s="16" t="s">
        <v>1215</v>
      </c>
      <c r="C13" s="1"/>
      <c r="D13" s="1"/>
      <c r="E13" s="1"/>
      <c r="F13" s="1"/>
      <c r="H13" s="1"/>
      <c r="I13" s="1">
        <v>18.7</v>
      </c>
      <c r="J13" s="1">
        <v>29.6</v>
      </c>
      <c r="K13" s="1">
        <v>27.1</v>
      </c>
      <c r="M13" s="1"/>
      <c r="N13" s="1"/>
      <c r="O13" s="1"/>
      <c r="P13" s="1"/>
      <c r="Q13" s="1"/>
      <c r="R13" s="1"/>
      <c r="S13" s="1">
        <v>18.7</v>
      </c>
      <c r="T13" s="1">
        <f>(J13*0.2)+J13</f>
        <v>35.520000000000003</v>
      </c>
      <c r="U13" s="1">
        <f>(K13*0.4)+K13</f>
        <v>37.940000000000005</v>
      </c>
    </row>
    <row r="14" spans="1:21" ht="16" x14ac:dyDescent="0.2">
      <c r="A14" s="8" t="s">
        <v>204</v>
      </c>
      <c r="B14" s="16" t="s">
        <v>1216</v>
      </c>
      <c r="C14" s="1"/>
      <c r="D14" s="1"/>
      <c r="E14" s="1"/>
      <c r="F14" s="1"/>
      <c r="H14" s="1">
        <v>4.3</v>
      </c>
      <c r="I14" s="1">
        <v>1.5</v>
      </c>
      <c r="J14" s="1">
        <v>0.4</v>
      </c>
      <c r="K14" s="8"/>
      <c r="M14" s="1"/>
      <c r="N14" s="1"/>
      <c r="O14" s="1"/>
      <c r="P14" s="1"/>
      <c r="R14" s="1">
        <v>4.3</v>
      </c>
      <c r="S14" s="1">
        <f>(I14*0.15)+I14</f>
        <v>1.7250000000000001</v>
      </c>
      <c r="T14" s="1">
        <f>(J14*0.35)+J14</f>
        <v>0.54</v>
      </c>
      <c r="U14" s="1"/>
    </row>
    <row r="15" spans="1:21" ht="16" x14ac:dyDescent="0.2">
      <c r="A15" s="8" t="s">
        <v>333</v>
      </c>
      <c r="B15" s="16" t="s">
        <v>1217</v>
      </c>
      <c r="C15" s="1"/>
      <c r="D15" s="1"/>
      <c r="E15" s="1"/>
      <c r="F15" s="1">
        <v>0.2</v>
      </c>
      <c r="G15" s="1">
        <v>0.5</v>
      </c>
      <c r="H15" s="1">
        <v>3.7</v>
      </c>
      <c r="I15" s="1">
        <v>0.3</v>
      </c>
      <c r="J15" s="1">
        <v>0.7</v>
      </c>
      <c r="K15" s="1">
        <v>1.3</v>
      </c>
      <c r="M15" s="1"/>
      <c r="N15" s="1"/>
      <c r="O15" s="1"/>
      <c r="P15" s="1">
        <v>0.2</v>
      </c>
      <c r="Q15" s="1">
        <f>(G15*0.2)+G15</f>
        <v>0.6</v>
      </c>
      <c r="R15" s="1">
        <f>(H15*0.4)+H15</f>
        <v>5.1800000000000006</v>
      </c>
      <c r="S15" s="1">
        <f>(I15*0.55)+I15</f>
        <v>0.46499999999999997</v>
      </c>
      <c r="T15" s="1">
        <f>(J15*0.75)+J15</f>
        <v>1.2249999999999999</v>
      </c>
      <c r="U15" s="1">
        <f>(K15*0.95)+K15</f>
        <v>2.5350000000000001</v>
      </c>
    </row>
    <row r="16" spans="1:21" ht="16" x14ac:dyDescent="0.2">
      <c r="A16" s="8" t="s">
        <v>1454</v>
      </c>
      <c r="B16" s="16" t="s">
        <v>1455</v>
      </c>
      <c r="C16" s="1"/>
      <c r="D16" s="1"/>
      <c r="E16" s="1"/>
      <c r="F16" s="1"/>
      <c r="G16" s="1"/>
      <c r="H16" s="1"/>
      <c r="I16" s="1"/>
      <c r="J16" s="1"/>
      <c r="K16" s="1">
        <v>4.7</v>
      </c>
      <c r="M16" s="1"/>
      <c r="N16" s="1"/>
      <c r="O16" s="1"/>
      <c r="P16" s="1"/>
      <c r="Q16" s="1"/>
      <c r="R16" s="1"/>
      <c r="S16" s="1"/>
      <c r="T16" s="1"/>
      <c r="U16" s="1">
        <v>4.7</v>
      </c>
    </row>
    <row r="17" spans="1:21" ht="16" x14ac:dyDescent="0.2">
      <c r="A17" s="8" t="s">
        <v>235</v>
      </c>
      <c r="B17" s="16" t="s">
        <v>1340</v>
      </c>
      <c r="C17" s="1"/>
      <c r="D17" s="1"/>
      <c r="E17" s="1"/>
      <c r="F17" s="1"/>
      <c r="G17" s="1"/>
      <c r="H17" s="1"/>
      <c r="I17" s="1"/>
      <c r="J17" s="1">
        <v>10.6</v>
      </c>
      <c r="K17" s="1">
        <v>9.6</v>
      </c>
      <c r="M17" s="1"/>
      <c r="N17" s="1"/>
      <c r="O17" s="1"/>
      <c r="P17" s="1"/>
      <c r="Q17" s="1"/>
      <c r="R17" s="1"/>
      <c r="S17" s="1"/>
      <c r="T17" s="1">
        <v>10.6</v>
      </c>
      <c r="U17" s="1">
        <f>(K17*0.2)+K17</f>
        <v>11.52</v>
      </c>
    </row>
    <row r="18" spans="1:21" ht="16" x14ac:dyDescent="0.2">
      <c r="A18" s="8" t="s">
        <v>469</v>
      </c>
      <c r="B18" s="16" t="s">
        <v>1218</v>
      </c>
      <c r="C18" s="1"/>
      <c r="D18" s="1"/>
      <c r="E18" s="1"/>
      <c r="F18" s="1"/>
      <c r="H18" s="1"/>
      <c r="I18" s="1">
        <v>6.9</v>
      </c>
      <c r="J18" s="1"/>
      <c r="K18" s="8"/>
      <c r="M18" s="1"/>
      <c r="N18" s="1"/>
      <c r="O18" s="1"/>
      <c r="P18" s="1"/>
      <c r="Q18" s="1"/>
      <c r="R18" s="1"/>
      <c r="S18" s="1">
        <v>6.9</v>
      </c>
      <c r="T18" s="1"/>
    </row>
    <row r="19" spans="1:21" ht="16" x14ac:dyDescent="0.2">
      <c r="A19" s="8" t="s">
        <v>473</v>
      </c>
      <c r="B19" s="16" t="s">
        <v>1219</v>
      </c>
      <c r="C19" s="1">
        <v>5.9</v>
      </c>
      <c r="D19" s="1"/>
      <c r="E19" s="1"/>
      <c r="F19" s="1"/>
      <c r="H19" s="1"/>
      <c r="I19" s="1"/>
      <c r="J19" s="1"/>
      <c r="K19" s="8"/>
      <c r="M19" s="1">
        <v>5.9</v>
      </c>
      <c r="N19" s="1"/>
      <c r="O19" s="1"/>
      <c r="P19" s="1"/>
      <c r="Q19" s="1"/>
      <c r="R19" s="1"/>
      <c r="S19" s="1"/>
      <c r="T19" s="1"/>
    </row>
    <row r="20" spans="1:21" ht="16" x14ac:dyDescent="0.2">
      <c r="A20" s="8" t="s">
        <v>475</v>
      </c>
      <c r="B20" s="16" t="s">
        <v>1220</v>
      </c>
      <c r="C20" s="1">
        <v>3.2</v>
      </c>
      <c r="D20" s="1"/>
      <c r="E20" s="1"/>
      <c r="F20" s="1"/>
      <c r="H20" s="1"/>
      <c r="I20" s="1"/>
      <c r="J20" s="1"/>
      <c r="K20" s="8"/>
      <c r="M20" s="1">
        <v>3.2</v>
      </c>
      <c r="N20" s="1"/>
      <c r="O20" s="1"/>
      <c r="P20" s="1"/>
      <c r="Q20" s="1"/>
      <c r="R20" s="1"/>
      <c r="S20" s="1"/>
      <c r="T20" s="1"/>
    </row>
    <row r="21" spans="1:21" ht="16" x14ac:dyDescent="0.2">
      <c r="A21" s="8" t="s">
        <v>54</v>
      </c>
      <c r="B21" s="16" t="s">
        <v>1221</v>
      </c>
      <c r="C21" s="1">
        <v>5.9</v>
      </c>
      <c r="D21" s="1">
        <v>6.4</v>
      </c>
      <c r="E21" s="1"/>
      <c r="F21" s="1">
        <v>0.5</v>
      </c>
      <c r="K21" s="8"/>
      <c r="M21" s="1">
        <v>5.9</v>
      </c>
      <c r="N21" s="1">
        <f t="shared" si="0"/>
        <v>7.6800000000000006</v>
      </c>
      <c r="O21" s="1"/>
      <c r="P21" s="1">
        <f>(F21*0.5)+F21</f>
        <v>0.75</v>
      </c>
      <c r="Q21" s="1"/>
      <c r="R21" s="1"/>
      <c r="S21" s="1"/>
      <c r="T21" s="1"/>
    </row>
    <row r="22" spans="1:21" ht="16" x14ac:dyDescent="0.2">
      <c r="A22" s="8" t="s">
        <v>55</v>
      </c>
      <c r="B22" s="16" t="s">
        <v>875</v>
      </c>
      <c r="E22" s="1">
        <v>8.6</v>
      </c>
      <c r="G22" s="1">
        <v>0.3</v>
      </c>
      <c r="K22" s="8"/>
      <c r="M22" s="1"/>
      <c r="N22" s="1"/>
      <c r="O22" s="1">
        <v>8.6</v>
      </c>
      <c r="P22" s="1"/>
      <c r="Q22" s="1">
        <f>(G22*0.4)+G22</f>
        <v>0.42</v>
      </c>
      <c r="R22" s="1"/>
      <c r="S22" s="1"/>
      <c r="T22" s="1"/>
    </row>
    <row r="23" spans="1:21" ht="16" x14ac:dyDescent="0.2">
      <c r="A23" s="8" t="s">
        <v>1336</v>
      </c>
      <c r="B23" s="16" t="s">
        <v>1339</v>
      </c>
      <c r="E23" s="1"/>
      <c r="G23" s="1"/>
      <c r="J23" s="3">
        <v>5.2</v>
      </c>
      <c r="K23" s="8"/>
      <c r="M23" s="1"/>
      <c r="N23" s="1"/>
      <c r="O23" s="1"/>
      <c r="P23" s="1"/>
      <c r="Q23" s="1"/>
      <c r="R23" s="1"/>
      <c r="S23" s="1"/>
      <c r="T23" s="1">
        <f>(J23*0.35)+J23</f>
        <v>7.02</v>
      </c>
    </row>
    <row r="24" spans="1:21" ht="16" x14ac:dyDescent="0.2">
      <c r="A24" s="8" t="s">
        <v>110</v>
      </c>
      <c r="B24" s="16" t="s">
        <v>1222</v>
      </c>
      <c r="E24" s="1"/>
      <c r="G24" s="1"/>
      <c r="H24" s="1">
        <v>16.7</v>
      </c>
      <c r="I24" s="1">
        <v>12</v>
      </c>
      <c r="J24" s="1">
        <v>5.3</v>
      </c>
      <c r="K24" s="8"/>
      <c r="M24" s="1"/>
      <c r="N24" s="1"/>
      <c r="O24" s="1"/>
      <c r="P24" s="1"/>
      <c r="Q24" s="1"/>
      <c r="R24" s="1">
        <v>16.7</v>
      </c>
      <c r="S24" s="1">
        <f>(I24*0.15)+I24</f>
        <v>13.8</v>
      </c>
      <c r="T24" s="1">
        <f>(J24*0.35)+J24</f>
        <v>7.1549999999999994</v>
      </c>
      <c r="U24" s="4"/>
    </row>
    <row r="25" spans="1:21" x14ac:dyDescent="0.2">
      <c r="L25" s="3" t="s">
        <v>14</v>
      </c>
      <c r="M25" s="1">
        <f>SUM(M2:M24)</f>
        <v>92.5</v>
      </c>
      <c r="N25" s="1">
        <f>SUM(N2:N24)</f>
        <v>110.64</v>
      </c>
      <c r="O25" s="1">
        <f t="shared" ref="O25:U25" si="8">SUM(O2:O24)</f>
        <v>123.13</v>
      </c>
      <c r="P25" s="1">
        <f t="shared" si="8"/>
        <v>138.64999999999998</v>
      </c>
      <c r="Q25" s="1">
        <f t="shared" si="8"/>
        <v>160.82</v>
      </c>
      <c r="R25" s="1">
        <f t="shared" si="8"/>
        <v>152.64000000000001</v>
      </c>
      <c r="S25" s="1">
        <f t="shared" si="8"/>
        <v>153.55000000000001</v>
      </c>
      <c r="T25" s="1">
        <f t="shared" si="8"/>
        <v>152.46500000000003</v>
      </c>
      <c r="U25" s="1">
        <f t="shared" si="8"/>
        <v>171.76999999999998</v>
      </c>
    </row>
    <row r="27" spans="1:21" x14ac:dyDescent="0.2">
      <c r="M27" s="1">
        <v>100</v>
      </c>
      <c r="N27" s="1">
        <v>120</v>
      </c>
      <c r="O27" s="1">
        <v>130</v>
      </c>
      <c r="P27" s="1">
        <v>150</v>
      </c>
      <c r="Q27" s="1">
        <v>170</v>
      </c>
      <c r="R27" s="1">
        <v>190</v>
      </c>
      <c r="S27" s="1">
        <v>205</v>
      </c>
      <c r="T27" s="1">
        <v>225</v>
      </c>
      <c r="U27" s="1">
        <v>245</v>
      </c>
    </row>
    <row r="29" spans="1:21" x14ac:dyDescent="0.2">
      <c r="M29" s="1">
        <f>M25</f>
        <v>92.5</v>
      </c>
      <c r="N29" s="1">
        <f>SUM(M29+N25)</f>
        <v>203.14</v>
      </c>
      <c r="O29" s="1">
        <f>SUM(N29+O25)</f>
        <v>326.27</v>
      </c>
      <c r="P29" s="1">
        <f>SUM(O29+P25)</f>
        <v>464.91999999999996</v>
      </c>
      <c r="Q29" s="1">
        <f t="shared" ref="Q29:U29" si="9">SUM(P29+Q25)</f>
        <v>625.74</v>
      </c>
      <c r="R29" s="1">
        <f t="shared" si="9"/>
        <v>778.38</v>
      </c>
      <c r="S29" s="1">
        <f t="shared" si="9"/>
        <v>931.93000000000006</v>
      </c>
      <c r="T29" s="1">
        <f t="shared" si="9"/>
        <v>1084.395</v>
      </c>
      <c r="U29" s="1">
        <f t="shared" si="9"/>
        <v>1256.165</v>
      </c>
    </row>
    <row r="30" spans="1:21" x14ac:dyDescent="0.2">
      <c r="M30" s="3"/>
      <c r="N30" s="3"/>
      <c r="O30" s="3"/>
      <c r="P30" s="3"/>
      <c r="Q30" s="1"/>
      <c r="R30" s="1"/>
    </row>
    <row r="31" spans="1:21" x14ac:dyDescent="0.2">
      <c r="M31" s="1">
        <v>100</v>
      </c>
      <c r="N31" s="1">
        <f>SUM(M31+N27)</f>
        <v>220</v>
      </c>
      <c r="O31" s="1">
        <f>SUM(N31+O27)</f>
        <v>350</v>
      </c>
      <c r="P31" s="1">
        <f>SUM(O31+P27)</f>
        <v>500</v>
      </c>
      <c r="Q31" s="1">
        <f t="shared" ref="Q31:U31" si="10">SUM(P31+Q27)</f>
        <v>670</v>
      </c>
      <c r="R31" s="1">
        <f t="shared" si="10"/>
        <v>860</v>
      </c>
      <c r="S31" s="1">
        <f t="shared" si="10"/>
        <v>1065</v>
      </c>
      <c r="T31" s="1">
        <f t="shared" si="10"/>
        <v>1290</v>
      </c>
      <c r="U31" s="1">
        <f t="shared" si="10"/>
        <v>1535</v>
      </c>
    </row>
    <row r="33" spans="1:21" x14ac:dyDescent="0.2">
      <c r="M33" s="4" t="s">
        <v>1563</v>
      </c>
      <c r="N33" s="4" t="s">
        <v>1563</v>
      </c>
      <c r="O33" s="4" t="s">
        <v>1563</v>
      </c>
      <c r="P33" s="4" t="s">
        <v>1563</v>
      </c>
      <c r="Q33" s="4" t="s">
        <v>1563</v>
      </c>
      <c r="R33" s="4" t="s">
        <v>1563</v>
      </c>
      <c r="S33" s="4" t="s">
        <v>1563</v>
      </c>
      <c r="T33" s="4" t="s">
        <v>1563</v>
      </c>
      <c r="U33" s="4" t="s">
        <v>1563</v>
      </c>
    </row>
    <row r="34" spans="1:21" x14ac:dyDescent="0.2">
      <c r="M34" s="6">
        <f>(M29/M31)*100</f>
        <v>92.5</v>
      </c>
      <c r="N34" s="6">
        <f>(N29/N31)*100</f>
        <v>92.336363636363629</v>
      </c>
      <c r="O34" s="6">
        <f>(O29/O31)*100</f>
        <v>93.22</v>
      </c>
      <c r="P34" s="6">
        <f>(P29/P31)*100</f>
        <v>92.983999999999995</v>
      </c>
      <c r="Q34" s="6">
        <f t="shared" ref="Q34:U34" si="11">(Q29/Q31)*100</f>
        <v>93.394029850746278</v>
      </c>
      <c r="R34" s="6">
        <f t="shared" si="11"/>
        <v>90.509302325581402</v>
      </c>
      <c r="S34" s="6">
        <f t="shared" si="11"/>
        <v>87.505164319248834</v>
      </c>
      <c r="T34" s="6">
        <f t="shared" si="11"/>
        <v>84.061627906976739</v>
      </c>
      <c r="U34" s="6">
        <f t="shared" si="11"/>
        <v>81.834853420195444</v>
      </c>
    </row>
    <row r="35" spans="1:21" ht="16" x14ac:dyDescent="0.2">
      <c r="A35" s="1"/>
      <c r="B35" s="1"/>
      <c r="C35" s="16"/>
    </row>
    <row r="36" spans="1:21" ht="16" x14ac:dyDescent="0.2">
      <c r="A36" s="1"/>
      <c r="B36" s="1"/>
      <c r="C36" s="16"/>
    </row>
    <row r="37" spans="1:21" ht="16" x14ac:dyDescent="0.2">
      <c r="A37" s="1"/>
      <c r="B37" s="1"/>
      <c r="C37" s="16"/>
    </row>
    <row r="38" spans="1:21" ht="16" x14ac:dyDescent="0.2">
      <c r="A38" s="1"/>
      <c r="B38" s="1"/>
      <c r="C38" s="16"/>
    </row>
    <row r="39" spans="1:21" ht="16" x14ac:dyDescent="0.2">
      <c r="A39" s="1"/>
      <c r="B39" s="1"/>
      <c r="C39" s="16"/>
    </row>
    <row r="40" spans="1:21" ht="16" x14ac:dyDescent="0.2">
      <c r="A40" s="1"/>
      <c r="B40" s="1"/>
      <c r="C40" s="16"/>
    </row>
    <row r="41" spans="1:21" ht="16" x14ac:dyDescent="0.2">
      <c r="A41" s="1"/>
      <c r="B41" s="1"/>
      <c r="C41" s="16"/>
    </row>
    <row r="42" spans="1:21" ht="16" x14ac:dyDescent="0.2">
      <c r="A42" s="1"/>
      <c r="B42" s="1"/>
      <c r="C42" s="16"/>
    </row>
    <row r="43" spans="1:21" ht="16" x14ac:dyDescent="0.2">
      <c r="A43" s="1"/>
      <c r="B43" s="1"/>
      <c r="C43" s="16"/>
    </row>
    <row r="44" spans="1:21" ht="16" x14ac:dyDescent="0.2">
      <c r="A44" s="1"/>
      <c r="B44" s="1"/>
      <c r="C44" s="16"/>
    </row>
    <row r="45" spans="1:21" ht="16" x14ac:dyDescent="0.2">
      <c r="A45" s="1"/>
      <c r="B45" s="1"/>
      <c r="C45" s="16"/>
    </row>
    <row r="46" spans="1:21" ht="16" x14ac:dyDescent="0.2">
      <c r="A46" s="1"/>
      <c r="B46" s="1"/>
      <c r="C46" s="16"/>
    </row>
    <row r="47" spans="1:21" ht="16" x14ac:dyDescent="0.2">
      <c r="A47" s="1"/>
      <c r="B47" s="1"/>
      <c r="C47" s="16"/>
    </row>
    <row r="48" spans="1:21" ht="16" x14ac:dyDescent="0.2">
      <c r="A48" s="1"/>
      <c r="B48" s="1"/>
      <c r="C48" s="16"/>
    </row>
    <row r="49" spans="1:3" ht="16" x14ac:dyDescent="0.2">
      <c r="A49" s="1"/>
      <c r="B49" s="1"/>
      <c r="C49" s="16"/>
    </row>
    <row r="50" spans="1:3" ht="16" x14ac:dyDescent="0.2">
      <c r="A50" s="1"/>
      <c r="B50" s="1"/>
      <c r="C50" s="16"/>
    </row>
    <row r="51" spans="1:3" ht="16" x14ac:dyDescent="0.2">
      <c r="A51" s="1"/>
      <c r="B51" s="1"/>
      <c r="C51" s="16"/>
    </row>
    <row r="52" spans="1:3" ht="16" x14ac:dyDescent="0.2">
      <c r="A52" s="1"/>
      <c r="B52" s="1"/>
      <c r="C52" s="16"/>
    </row>
    <row r="53" spans="1:3" ht="16" x14ac:dyDescent="0.2">
      <c r="A53" s="1"/>
      <c r="B53" s="1"/>
      <c r="C53" s="16"/>
    </row>
    <row r="54" spans="1:3" ht="16" x14ac:dyDescent="0.2">
      <c r="A54" s="1"/>
      <c r="B54" s="1"/>
      <c r="C54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K43"/>
  <sheetViews>
    <sheetView topLeftCell="BT1" workbookViewId="0">
      <selection activeCell="AU32" sqref="AU32:CK32"/>
    </sheetView>
  </sheetViews>
  <sheetFormatPr baseColWidth="10" defaultRowHeight="15" x14ac:dyDescent="0.2"/>
  <cols>
    <col min="2" max="2" width="27.1640625" customWidth="1"/>
  </cols>
  <sheetData>
    <row r="1" spans="1:89" ht="16" x14ac:dyDescent="0.2">
      <c r="A1" s="3" t="s">
        <v>15</v>
      </c>
      <c r="B1" s="24" t="s">
        <v>681</v>
      </c>
      <c r="C1" s="3">
        <v>1910</v>
      </c>
      <c r="D1" s="3">
        <v>1913</v>
      </c>
      <c r="E1" s="3">
        <v>1915</v>
      </c>
      <c r="F1" s="3">
        <v>1918</v>
      </c>
      <c r="G1" s="3" t="s">
        <v>253</v>
      </c>
      <c r="H1" s="3" t="s">
        <v>254</v>
      </c>
      <c r="I1" s="3" t="s">
        <v>255</v>
      </c>
      <c r="J1" s="3">
        <v>1924</v>
      </c>
      <c r="K1" s="3">
        <v>1926</v>
      </c>
      <c r="L1" s="3">
        <v>1929</v>
      </c>
      <c r="M1" s="3">
        <v>1932</v>
      </c>
      <c r="N1" s="3">
        <v>1935</v>
      </c>
      <c r="O1" s="3">
        <v>1939</v>
      </c>
      <c r="P1" s="3">
        <v>1943</v>
      </c>
      <c r="Q1" s="3">
        <v>1945</v>
      </c>
      <c r="R1" s="3">
        <v>1947</v>
      </c>
      <c r="S1" s="3">
        <v>1950</v>
      </c>
      <c r="T1" s="3" t="s">
        <v>256</v>
      </c>
      <c r="U1" s="3" t="s">
        <v>257</v>
      </c>
      <c r="V1" s="3">
        <v>1957</v>
      </c>
      <c r="W1" s="3">
        <v>1960</v>
      </c>
      <c r="X1" s="3">
        <v>1964</v>
      </c>
      <c r="Y1" s="3">
        <v>1966</v>
      </c>
      <c r="Z1" s="3">
        <v>1968</v>
      </c>
      <c r="AA1" s="3">
        <v>1971</v>
      </c>
      <c r="AB1" s="3">
        <v>1973</v>
      </c>
      <c r="AC1" s="3">
        <v>1975</v>
      </c>
      <c r="AD1" s="3">
        <v>1977</v>
      </c>
      <c r="AE1" s="3">
        <v>1979</v>
      </c>
      <c r="AF1" s="3">
        <v>1981</v>
      </c>
      <c r="AG1" s="3">
        <v>1984</v>
      </c>
      <c r="AH1" s="3">
        <v>1987</v>
      </c>
      <c r="AI1" s="3">
        <v>1988</v>
      </c>
      <c r="AJ1" s="3">
        <v>1990</v>
      </c>
      <c r="AK1" s="3">
        <v>1994</v>
      </c>
      <c r="AL1" s="3">
        <v>1998</v>
      </c>
      <c r="AM1" s="3">
        <v>2001</v>
      </c>
      <c r="AN1" s="3">
        <v>2005</v>
      </c>
      <c r="AO1" s="3">
        <v>2007</v>
      </c>
      <c r="AP1" s="3">
        <v>2011</v>
      </c>
      <c r="AQ1" s="3">
        <v>2015</v>
      </c>
      <c r="AR1" s="3">
        <v>2019</v>
      </c>
      <c r="AS1" s="3">
        <v>2022</v>
      </c>
      <c r="AU1" s="3">
        <v>1910</v>
      </c>
      <c r="AV1" s="3">
        <v>1913</v>
      </c>
      <c r="AW1" s="3">
        <v>1915</v>
      </c>
      <c r="AX1" s="3">
        <v>1918</v>
      </c>
      <c r="AY1" s="3" t="s">
        <v>253</v>
      </c>
      <c r="AZ1" s="3" t="s">
        <v>254</v>
      </c>
      <c r="BA1" s="3" t="s">
        <v>255</v>
      </c>
      <c r="BB1" s="3">
        <v>1924</v>
      </c>
      <c r="BC1" s="3">
        <v>1926</v>
      </c>
      <c r="BD1" s="3">
        <v>1929</v>
      </c>
      <c r="BE1" s="3">
        <v>1932</v>
      </c>
      <c r="BF1" s="3">
        <v>1935</v>
      </c>
      <c r="BG1" s="3">
        <v>1939</v>
      </c>
      <c r="BH1" s="3">
        <v>1943</v>
      </c>
      <c r="BI1" s="3">
        <v>1945</v>
      </c>
      <c r="BJ1" s="3">
        <v>1947</v>
      </c>
      <c r="BK1" s="3">
        <v>1950</v>
      </c>
      <c r="BL1" s="3" t="s">
        <v>256</v>
      </c>
      <c r="BM1" s="3" t="s">
        <v>257</v>
      </c>
      <c r="BN1" s="3">
        <v>1957</v>
      </c>
      <c r="BO1" s="3">
        <v>1960</v>
      </c>
      <c r="BP1" s="3">
        <v>1964</v>
      </c>
      <c r="BQ1" s="3">
        <v>1966</v>
      </c>
      <c r="BR1" s="3">
        <v>1968</v>
      </c>
      <c r="BS1" s="3">
        <v>1971</v>
      </c>
      <c r="BT1" s="3">
        <v>1973</v>
      </c>
      <c r="BU1" s="3">
        <v>1975</v>
      </c>
      <c r="BV1" s="3">
        <v>1977</v>
      </c>
      <c r="BW1" s="3">
        <v>1979</v>
      </c>
      <c r="BX1" s="3">
        <v>1981</v>
      </c>
      <c r="BY1" s="3">
        <v>1984</v>
      </c>
      <c r="BZ1" s="3">
        <v>1987</v>
      </c>
      <c r="CA1" s="3">
        <v>1988</v>
      </c>
      <c r="CB1" s="3">
        <v>1990</v>
      </c>
      <c r="CC1" s="3">
        <v>1994</v>
      </c>
      <c r="CD1" s="3">
        <v>1998</v>
      </c>
      <c r="CE1" s="3">
        <v>2001</v>
      </c>
      <c r="CF1" s="3">
        <v>2005</v>
      </c>
      <c r="CG1" s="3">
        <v>2007</v>
      </c>
      <c r="CH1" s="3">
        <v>2011</v>
      </c>
      <c r="CI1" s="3">
        <v>2015</v>
      </c>
      <c r="CJ1" s="3">
        <v>2019</v>
      </c>
      <c r="CK1" s="3">
        <v>2022</v>
      </c>
    </row>
    <row r="2" spans="1:89" ht="16" x14ac:dyDescent="0.2">
      <c r="A2" s="8" t="s">
        <v>142</v>
      </c>
      <c r="B2" s="16" t="s">
        <v>1193</v>
      </c>
      <c r="C2" s="1">
        <v>34.1</v>
      </c>
      <c r="D2" s="1">
        <v>28.6</v>
      </c>
      <c r="E2" s="1"/>
      <c r="F2" s="1">
        <v>29.4</v>
      </c>
      <c r="G2" s="1">
        <v>34.200000000000003</v>
      </c>
      <c r="H2" s="1">
        <v>36.1</v>
      </c>
      <c r="I2" s="1">
        <v>34</v>
      </c>
      <c r="J2" s="1">
        <v>28.3</v>
      </c>
      <c r="K2" s="1">
        <v>28.3</v>
      </c>
      <c r="L2" s="1">
        <v>28.3</v>
      </c>
      <c r="M2" s="1">
        <v>24.7</v>
      </c>
      <c r="N2" s="1">
        <v>17.8</v>
      </c>
      <c r="O2" s="1">
        <v>18.2</v>
      </c>
      <c r="P2" s="1">
        <v>18.7</v>
      </c>
      <c r="Q2" s="1">
        <v>23.4</v>
      </c>
      <c r="R2" s="1">
        <v>25.4</v>
      </c>
      <c r="S2" s="1">
        <v>21.3</v>
      </c>
      <c r="T2" s="1">
        <v>22.1</v>
      </c>
      <c r="U2" s="1">
        <v>23.1</v>
      </c>
      <c r="V2" s="1">
        <v>25.1</v>
      </c>
      <c r="W2" s="1">
        <v>21.1</v>
      </c>
      <c r="X2" s="1">
        <v>20.8</v>
      </c>
      <c r="Y2" s="1">
        <v>19.3</v>
      </c>
      <c r="Z2" s="1">
        <v>18.600000000000001</v>
      </c>
      <c r="AA2" s="1">
        <v>15.6</v>
      </c>
      <c r="AB2" s="1">
        <v>12.3</v>
      </c>
      <c r="AC2" s="1">
        <v>23.3</v>
      </c>
      <c r="AD2" s="1">
        <v>12</v>
      </c>
      <c r="AE2" s="1">
        <v>12.5</v>
      </c>
      <c r="AF2" s="1">
        <v>11.3</v>
      </c>
      <c r="AG2" s="1">
        <v>12.1</v>
      </c>
      <c r="AH2" s="1">
        <v>10.5</v>
      </c>
      <c r="AI2" s="1">
        <v>11.8</v>
      </c>
      <c r="AJ2" s="1">
        <v>15.8</v>
      </c>
      <c r="AK2" s="1">
        <v>23.3</v>
      </c>
      <c r="AL2" s="1">
        <v>24</v>
      </c>
      <c r="AM2" s="1">
        <v>31.2</v>
      </c>
      <c r="AN2" s="1">
        <v>29</v>
      </c>
      <c r="AO2" s="1">
        <v>26.2</v>
      </c>
      <c r="AP2" s="1">
        <v>26.7</v>
      </c>
      <c r="AQ2" s="1">
        <v>19.5</v>
      </c>
      <c r="AR2" s="1">
        <v>23.4</v>
      </c>
      <c r="AS2" s="1">
        <v>13.3</v>
      </c>
      <c r="AU2" s="1">
        <v>34.1</v>
      </c>
      <c r="AV2" s="1">
        <f>(D2*0.15)+D2</f>
        <v>32.89</v>
      </c>
      <c r="AW2" s="1"/>
      <c r="AX2" s="1">
        <f>(F2*0.4)+F2</f>
        <v>41.16</v>
      </c>
      <c r="AY2" s="1">
        <f>(G2*0.5)+G2</f>
        <v>51.300000000000004</v>
      </c>
      <c r="AZ2" s="1">
        <f>(H2*0.5)+H2</f>
        <v>54.150000000000006</v>
      </c>
      <c r="BA2" s="1">
        <f>(I2*0.5)+I2</f>
        <v>51</v>
      </c>
      <c r="BB2" s="1">
        <f>(J2*0.7)+J2</f>
        <v>48.11</v>
      </c>
      <c r="BC2" s="1">
        <f>(K2*0.8)+K2</f>
        <v>50.94</v>
      </c>
      <c r="BD2" s="1">
        <f>(L2*0.95)+L2</f>
        <v>55.185000000000002</v>
      </c>
      <c r="BE2" s="1">
        <f>(M2*1.1)+M2</f>
        <v>51.870000000000005</v>
      </c>
      <c r="BF2" s="1">
        <f>(N2*1.25)+N2</f>
        <v>40.049999999999997</v>
      </c>
      <c r="BG2" s="1">
        <f>(O2*1.45)+O2</f>
        <v>44.589999999999996</v>
      </c>
      <c r="BH2" s="1">
        <f>(P2*1.65)+P2</f>
        <v>49.554999999999993</v>
      </c>
      <c r="BI2" s="1">
        <f>(Q2*1.75)+Q2</f>
        <v>64.349999999999994</v>
      </c>
      <c r="BJ2" s="1">
        <f>(R2*1.85)+R2</f>
        <v>72.39</v>
      </c>
      <c r="BK2" s="1">
        <f>(S2*2)+S2</f>
        <v>63.900000000000006</v>
      </c>
      <c r="BL2" s="1">
        <f>(T2*2.15)+T2</f>
        <v>69.615000000000009</v>
      </c>
      <c r="BM2" s="1">
        <f>(U2*2.15)+U2</f>
        <v>72.765000000000001</v>
      </c>
      <c r="BN2" s="1">
        <f>(V2*2.35)+V2</f>
        <v>84.085000000000008</v>
      </c>
      <c r="BO2" s="1">
        <f>(W2*2.5)+W2</f>
        <v>73.849999999999994</v>
      </c>
      <c r="BP2" s="1">
        <f>(X2*2.7)+X2</f>
        <v>76.960000000000008</v>
      </c>
      <c r="BQ2" s="1">
        <f>(Y2*2.8)+Y2</f>
        <v>73.34</v>
      </c>
      <c r="BR2" s="1">
        <f>(Z2*2.9)+Z2</f>
        <v>72.540000000000006</v>
      </c>
      <c r="BS2" s="1">
        <f>(AA2*3.05)+AA2</f>
        <v>63.18</v>
      </c>
      <c r="BT2" s="1">
        <f>(AB2*3.15)+AB2</f>
        <v>51.045000000000002</v>
      </c>
      <c r="BU2" s="1">
        <f>(AC2*3.25)+AC2</f>
        <v>99.025000000000006</v>
      </c>
      <c r="BV2" s="1">
        <f>(AD2*3.35)+AD2</f>
        <v>52.2</v>
      </c>
      <c r="BW2" s="1">
        <f>(AE2*3.45)+AE2</f>
        <v>55.625</v>
      </c>
      <c r="BX2" s="1">
        <f>(AF2*3.55)+AF2</f>
        <v>51.415000000000006</v>
      </c>
      <c r="BY2" s="1">
        <f>(AG2*3.7)+AG2</f>
        <v>56.870000000000005</v>
      </c>
      <c r="BZ2" s="1">
        <f>(AH2*3.85)+AH2</f>
        <v>50.925000000000004</v>
      </c>
      <c r="CA2" s="1">
        <f>(AI2*3.9)+AI2</f>
        <v>57.820000000000007</v>
      </c>
      <c r="CB2" s="1">
        <f>(AJ2*4)+AJ2</f>
        <v>79</v>
      </c>
      <c r="CC2" s="1">
        <f>(AK2*4.2)+AK2</f>
        <v>121.16000000000001</v>
      </c>
      <c r="CD2" s="1">
        <f>(AL2*4.4)+AL2</f>
        <v>129.60000000000002</v>
      </c>
      <c r="CE2" s="1">
        <f>(AM2*4.55)+AM2</f>
        <v>173.15999999999997</v>
      </c>
      <c r="CF2" s="1">
        <f>(AN2*4.75)+AN2</f>
        <v>166.75</v>
      </c>
      <c r="CG2" s="1">
        <f>(AO2*4.85)+AO2</f>
        <v>153.26999999999998</v>
      </c>
      <c r="CH2" s="1">
        <f>(AP2*5.05)+AP2</f>
        <v>161.53499999999997</v>
      </c>
      <c r="CI2" s="1">
        <f>(AQ2*5.25)+AQ2</f>
        <v>121.875</v>
      </c>
      <c r="CJ2" s="1">
        <f>(AR2*5.45)+AR2</f>
        <v>150.93</v>
      </c>
      <c r="CK2" s="1">
        <f>(AS2*5.6)+AS2</f>
        <v>87.78</v>
      </c>
    </row>
    <row r="3" spans="1:89" ht="16" x14ac:dyDescent="0.2">
      <c r="A3" s="8" t="s">
        <v>119</v>
      </c>
      <c r="B3" s="16" t="s">
        <v>437</v>
      </c>
      <c r="C3" s="1">
        <v>28.3</v>
      </c>
      <c r="D3" s="1">
        <v>29.6</v>
      </c>
      <c r="E3" s="1"/>
      <c r="F3" s="1">
        <v>28.7</v>
      </c>
      <c r="G3" s="1">
        <v>29.3</v>
      </c>
      <c r="H3" s="1">
        <v>29.9</v>
      </c>
      <c r="I3" s="1">
        <v>32.200000000000003</v>
      </c>
      <c r="J3" s="1">
        <v>36.6</v>
      </c>
      <c r="K3" s="1">
        <v>37.200000000000003</v>
      </c>
      <c r="L3" s="1">
        <v>41.8</v>
      </c>
      <c r="M3" s="1">
        <v>42.7</v>
      </c>
      <c r="N3" s="1">
        <v>46.1</v>
      </c>
      <c r="O3" s="1">
        <v>42.9</v>
      </c>
      <c r="P3" s="1">
        <v>44.5</v>
      </c>
      <c r="Q3" s="1">
        <v>32.799999999999997</v>
      </c>
      <c r="R3" s="1">
        <v>40</v>
      </c>
      <c r="S3" s="1">
        <v>39.6</v>
      </c>
      <c r="T3" s="1">
        <v>40.4</v>
      </c>
      <c r="U3" s="1">
        <v>41.3</v>
      </c>
      <c r="V3" s="1">
        <v>39.4</v>
      </c>
      <c r="W3" s="1">
        <v>42.1</v>
      </c>
      <c r="X3" s="1">
        <v>41.9</v>
      </c>
      <c r="Y3" s="1">
        <v>38.200000000000003</v>
      </c>
      <c r="Z3" s="1">
        <v>34.200000000000003</v>
      </c>
      <c r="AA3" s="1">
        <v>37.299999999999997</v>
      </c>
      <c r="AB3" s="1">
        <v>25.6</v>
      </c>
      <c r="AC3" s="1">
        <v>29.9</v>
      </c>
      <c r="AD3" s="1">
        <v>37</v>
      </c>
      <c r="AE3" s="1">
        <v>38.299999999999997</v>
      </c>
      <c r="AF3" s="1">
        <v>32.9</v>
      </c>
      <c r="AG3" s="1">
        <v>31.6</v>
      </c>
      <c r="AH3" s="1">
        <v>29.3</v>
      </c>
      <c r="AI3" s="1">
        <v>29.8</v>
      </c>
      <c r="AJ3" s="1">
        <v>37.4</v>
      </c>
      <c r="AK3" s="1">
        <v>34.6</v>
      </c>
      <c r="AL3" s="1">
        <v>35.9</v>
      </c>
      <c r="AM3" s="1">
        <v>29.1</v>
      </c>
      <c r="AN3" s="1">
        <v>25.8</v>
      </c>
      <c r="AO3" s="1">
        <v>25.5</v>
      </c>
      <c r="AP3" s="1">
        <v>24.8</v>
      </c>
      <c r="AQ3" s="1">
        <v>26.3</v>
      </c>
      <c r="AR3" s="1">
        <v>25.9</v>
      </c>
      <c r="AS3" s="1">
        <v>27.5</v>
      </c>
      <c r="AU3" s="1">
        <v>28.3</v>
      </c>
      <c r="AV3" s="1">
        <f t="shared" ref="AV3:AV5" si="0">(D3*0.15)+D3</f>
        <v>34.04</v>
      </c>
      <c r="AW3" s="1"/>
      <c r="AX3" s="1">
        <f t="shared" ref="AX3:AX5" si="1">(F3*0.4)+F3</f>
        <v>40.18</v>
      </c>
      <c r="AY3" s="1">
        <f t="shared" ref="AY3:AY5" si="2">(G3*0.5)+G3</f>
        <v>43.95</v>
      </c>
      <c r="AZ3" s="1">
        <f>(H3*0.5)+H3</f>
        <v>44.849999999999994</v>
      </c>
      <c r="BA3" s="1">
        <f t="shared" ref="BA3:BA5" si="3">(I3*0.5)+I3</f>
        <v>48.300000000000004</v>
      </c>
      <c r="BB3" s="1">
        <f t="shared" ref="BB3:BB5" si="4">(J3*0.7)+J3</f>
        <v>62.22</v>
      </c>
      <c r="BC3" s="1">
        <f t="shared" ref="BC3:BC5" si="5">(K3*0.8)+K3</f>
        <v>66.960000000000008</v>
      </c>
      <c r="BD3" s="1">
        <f t="shared" ref="BD3:BD5" si="6">(L3*0.95)+L3</f>
        <v>81.509999999999991</v>
      </c>
      <c r="BE3" s="1">
        <f t="shared" ref="BE3:BE5" si="7">(M3*1.1)+M3</f>
        <v>89.670000000000016</v>
      </c>
      <c r="BF3" s="1">
        <f t="shared" ref="BF3:BF5" si="8">(N3*1.25)+N3</f>
        <v>103.72499999999999</v>
      </c>
      <c r="BG3" s="1">
        <f t="shared" ref="BG3:BG5" si="9">(O3*1.45)+O3</f>
        <v>105.10499999999999</v>
      </c>
      <c r="BH3" s="1">
        <f t="shared" ref="BH3:BH5" si="10">(P3*1.65)+P3</f>
        <v>117.925</v>
      </c>
      <c r="BI3" s="1">
        <f t="shared" ref="BI3:BI5" si="11">(Q3*1.75)+Q3</f>
        <v>90.199999999999989</v>
      </c>
      <c r="BJ3" s="1">
        <f t="shared" ref="BJ3:BJ5" si="12">(R3*1.85)+R3</f>
        <v>114</v>
      </c>
      <c r="BK3" s="1">
        <f t="shared" ref="BK3:BK5" si="13">(S3*2)+S3</f>
        <v>118.80000000000001</v>
      </c>
      <c r="BL3" s="1">
        <f t="shared" ref="BL3:BL5" si="14">(T3*2.15)+T3</f>
        <v>127.25999999999999</v>
      </c>
      <c r="BM3" s="1">
        <f t="shared" ref="BM3:BM5" si="15">(U3*2.15)+U3</f>
        <v>130.09499999999997</v>
      </c>
      <c r="BN3" s="1">
        <f t="shared" ref="BN3:BN5" si="16">(V3*2.35)+V3</f>
        <v>131.99</v>
      </c>
      <c r="BO3" s="1">
        <f t="shared" ref="BO3:BO5" si="17">(W3*2.5)+W3</f>
        <v>147.35</v>
      </c>
      <c r="BP3" s="1">
        <f t="shared" ref="BP3:BP5" si="18">(X3*2.7)+X3</f>
        <v>155.03</v>
      </c>
      <c r="BQ3" s="1">
        <f t="shared" ref="BQ3:BQ5" si="19">(Y3*2.8)+Y3</f>
        <v>145.16000000000003</v>
      </c>
      <c r="BR3" s="1">
        <f t="shared" ref="BR3:BR5" si="20">(Z3*2.9)+Z3</f>
        <v>133.38</v>
      </c>
      <c r="BS3" s="1">
        <f t="shared" ref="BS3:BS5" si="21">(AA3*3.05)+AA3</f>
        <v>151.065</v>
      </c>
      <c r="BT3" s="1">
        <f t="shared" ref="BT3:BT5" si="22">(AB3*3.15)+AB3</f>
        <v>106.24000000000001</v>
      </c>
      <c r="BU3" s="1">
        <f t="shared" ref="BU3:BU5" si="23">(AC3*3.25)+AC3</f>
        <v>127.07499999999999</v>
      </c>
      <c r="BV3" s="1">
        <f t="shared" ref="BV3:BV5" si="24">(AD3*3.35)+AD3</f>
        <v>160.94999999999999</v>
      </c>
      <c r="BW3" s="1">
        <f t="shared" ref="BW3:BW5" si="25">(AE3*3.45)+AE3</f>
        <v>170.435</v>
      </c>
      <c r="BX3" s="1">
        <f t="shared" ref="BX3:BX5" si="26">(AF3*3.55)+AF3</f>
        <v>149.69499999999999</v>
      </c>
      <c r="BY3" s="1">
        <f t="shared" ref="BY3:BY5" si="27">(AG3*3.7)+AG3</f>
        <v>148.52000000000001</v>
      </c>
      <c r="BZ3" s="1">
        <f t="shared" ref="BZ3:BZ5" si="28">(AH3*3.85)+AH3</f>
        <v>142.10500000000002</v>
      </c>
      <c r="CA3" s="1">
        <f t="shared" ref="CA3:CA5" si="29">(AI3*3.9)+AI3</f>
        <v>146.02000000000001</v>
      </c>
      <c r="CB3" s="1">
        <f t="shared" ref="CB3:CB5" si="30">(AJ3*4)+AJ3</f>
        <v>187</v>
      </c>
      <c r="CC3" s="1">
        <f t="shared" ref="CC3:CC5" si="31">(AK3*4.2)+AK3</f>
        <v>179.92000000000002</v>
      </c>
      <c r="CD3" s="1">
        <f t="shared" ref="CD3:CD5" si="32">(AL3*4.4)+AL3</f>
        <v>193.86</v>
      </c>
      <c r="CE3" s="1">
        <f t="shared" ref="CE3:CE5" si="33">(AM3*4.55)+AM3</f>
        <v>161.505</v>
      </c>
      <c r="CF3" s="1">
        <f t="shared" ref="CF3:CF5" si="34">(AN3*4.75)+AN3</f>
        <v>148.35</v>
      </c>
      <c r="CG3" s="1">
        <f t="shared" ref="CG3:CG5" si="35">(AO3*4.85)+AO3</f>
        <v>149.17500000000001</v>
      </c>
      <c r="CH3" s="1">
        <f t="shared" ref="CH3:CH5" si="36">(AP3*5.05)+AP3</f>
        <v>150.04</v>
      </c>
      <c r="CI3" s="1">
        <f t="shared" ref="CI3:CI5" si="37">(AQ3*5.25)+AQ3</f>
        <v>164.37500000000003</v>
      </c>
      <c r="CJ3" s="1">
        <f t="shared" ref="CJ3:CJ5" si="38">(AR3*5.45)+AR3</f>
        <v>167.05500000000001</v>
      </c>
      <c r="CK3" s="1">
        <f t="shared" ref="CK3:CK5" si="39">(AS3*5.6)+AS3</f>
        <v>181.5</v>
      </c>
    </row>
    <row r="4" spans="1:89" ht="16" x14ac:dyDescent="0.2">
      <c r="A4" s="8" t="s">
        <v>258</v>
      </c>
      <c r="B4" s="16" t="s">
        <v>1194</v>
      </c>
      <c r="C4" s="1">
        <v>18.600000000000001</v>
      </c>
      <c r="D4" s="1">
        <v>22.4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X4" s="1"/>
      <c r="AR4" s="1"/>
      <c r="AS4" s="1"/>
      <c r="AU4" s="1">
        <v>18.600000000000001</v>
      </c>
      <c r="AV4" s="1">
        <f t="shared" si="0"/>
        <v>25.759999999999998</v>
      </c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 ht="16" x14ac:dyDescent="0.2">
      <c r="A5" s="8" t="s">
        <v>259</v>
      </c>
      <c r="B5" s="16" t="s">
        <v>1195</v>
      </c>
      <c r="C5" s="1">
        <v>18.600000000000001</v>
      </c>
      <c r="D5" s="1">
        <v>18.7</v>
      </c>
      <c r="E5" s="1"/>
      <c r="F5" s="1">
        <v>20.7</v>
      </c>
      <c r="G5" s="1">
        <v>11.9</v>
      </c>
      <c r="H5" s="1">
        <v>11.5</v>
      </c>
      <c r="I5" s="1">
        <v>12.1</v>
      </c>
      <c r="J5" s="1">
        <v>13</v>
      </c>
      <c r="K5" s="1">
        <v>11.3</v>
      </c>
      <c r="L5" s="1">
        <v>10.7</v>
      </c>
      <c r="M5" s="1">
        <v>9.4</v>
      </c>
      <c r="N5" s="1">
        <v>9.1999999999999993</v>
      </c>
      <c r="O5" s="1">
        <v>9.5</v>
      </c>
      <c r="P5" s="1">
        <v>8.6999999999999993</v>
      </c>
      <c r="Q5" s="1">
        <v>8.1</v>
      </c>
      <c r="R5" s="1">
        <v>6.9</v>
      </c>
      <c r="S5" s="1">
        <v>8.1999999999999993</v>
      </c>
      <c r="T5" s="1">
        <v>8.6</v>
      </c>
      <c r="U5" s="1">
        <v>7.8</v>
      </c>
      <c r="V5" s="1">
        <v>7.8</v>
      </c>
      <c r="W5" s="1">
        <v>5.8</v>
      </c>
      <c r="X5" s="1">
        <v>5.3</v>
      </c>
      <c r="Y5" s="1">
        <v>7.3</v>
      </c>
      <c r="Z5" s="1">
        <v>15</v>
      </c>
      <c r="AA5" s="1">
        <v>14.3</v>
      </c>
      <c r="AB5" s="1">
        <v>11.2</v>
      </c>
      <c r="AC5" s="1">
        <v>7.1</v>
      </c>
      <c r="AD5" s="1">
        <v>3.6</v>
      </c>
      <c r="AE5" s="1">
        <v>5.4</v>
      </c>
      <c r="AF5" s="1">
        <v>5.0999999999999996</v>
      </c>
      <c r="AG5" s="1">
        <v>5.5</v>
      </c>
      <c r="AH5" s="1">
        <v>6.2</v>
      </c>
      <c r="AI5" s="1">
        <v>5.6</v>
      </c>
      <c r="AJ5" s="1">
        <v>3.5</v>
      </c>
      <c r="AK5" s="1">
        <v>4.5999999999999996</v>
      </c>
      <c r="AL5" s="1">
        <v>3.9</v>
      </c>
      <c r="AM5" s="1">
        <v>5.2</v>
      </c>
      <c r="AN5" s="1">
        <v>9.1999999999999993</v>
      </c>
      <c r="AO5" s="1">
        <v>5.0999999999999996</v>
      </c>
      <c r="AP5" s="1">
        <v>9.5</v>
      </c>
      <c r="AQ5" s="1">
        <v>4.5999999999999996</v>
      </c>
      <c r="AR5" s="1">
        <v>8.6</v>
      </c>
      <c r="AS5" s="1">
        <v>3.8</v>
      </c>
      <c r="AU5" s="1">
        <v>18.600000000000001</v>
      </c>
      <c r="AV5" s="1">
        <f t="shared" si="0"/>
        <v>21.504999999999999</v>
      </c>
      <c r="AW5" s="1"/>
      <c r="AX5" s="1">
        <f t="shared" si="1"/>
        <v>28.979999999999997</v>
      </c>
      <c r="AY5" s="1">
        <f t="shared" si="2"/>
        <v>17.850000000000001</v>
      </c>
      <c r="AZ5" s="1">
        <f>(H5*0.5)+H5</f>
        <v>17.25</v>
      </c>
      <c r="BA5" s="1">
        <f t="shared" si="3"/>
        <v>18.149999999999999</v>
      </c>
      <c r="BB5" s="1">
        <f t="shared" si="4"/>
        <v>22.1</v>
      </c>
      <c r="BC5" s="1">
        <f t="shared" si="5"/>
        <v>20.340000000000003</v>
      </c>
      <c r="BD5" s="1">
        <f t="shared" si="6"/>
        <v>20.864999999999998</v>
      </c>
      <c r="BE5" s="1">
        <f t="shared" si="7"/>
        <v>19.740000000000002</v>
      </c>
      <c r="BF5" s="1">
        <f t="shared" si="8"/>
        <v>20.7</v>
      </c>
      <c r="BG5" s="1">
        <f t="shared" si="9"/>
        <v>23.274999999999999</v>
      </c>
      <c r="BH5" s="1">
        <f t="shared" si="10"/>
        <v>23.055</v>
      </c>
      <c r="BI5" s="1">
        <f t="shared" si="11"/>
        <v>22.274999999999999</v>
      </c>
      <c r="BJ5" s="1">
        <f t="shared" si="12"/>
        <v>19.664999999999999</v>
      </c>
      <c r="BK5" s="1">
        <f t="shared" si="13"/>
        <v>24.599999999999998</v>
      </c>
      <c r="BL5" s="1">
        <f t="shared" si="14"/>
        <v>27.089999999999996</v>
      </c>
      <c r="BM5" s="1">
        <f t="shared" si="15"/>
        <v>24.57</v>
      </c>
      <c r="BN5" s="1">
        <f t="shared" si="16"/>
        <v>26.130000000000003</v>
      </c>
      <c r="BO5" s="1">
        <f t="shared" si="17"/>
        <v>20.3</v>
      </c>
      <c r="BP5" s="1">
        <f t="shared" si="18"/>
        <v>19.61</v>
      </c>
      <c r="BQ5" s="1">
        <f t="shared" si="19"/>
        <v>27.74</v>
      </c>
      <c r="BR5" s="1">
        <f t="shared" si="20"/>
        <v>58.5</v>
      </c>
      <c r="BS5" s="1">
        <f t="shared" si="21"/>
        <v>57.915000000000006</v>
      </c>
      <c r="BT5" s="1">
        <f t="shared" si="22"/>
        <v>46.47999999999999</v>
      </c>
      <c r="BU5" s="1">
        <f t="shared" si="23"/>
        <v>30.174999999999997</v>
      </c>
      <c r="BV5" s="1">
        <f t="shared" si="24"/>
        <v>15.66</v>
      </c>
      <c r="BW5" s="1">
        <f t="shared" si="25"/>
        <v>24.03</v>
      </c>
      <c r="BX5" s="1">
        <f t="shared" si="26"/>
        <v>23.204999999999998</v>
      </c>
      <c r="BY5" s="1">
        <f t="shared" si="27"/>
        <v>25.85</v>
      </c>
      <c r="BZ5" s="1">
        <f t="shared" si="28"/>
        <v>30.07</v>
      </c>
      <c r="CA5" s="1">
        <f t="shared" si="29"/>
        <v>27.439999999999998</v>
      </c>
      <c r="CB5" s="1">
        <f t="shared" si="30"/>
        <v>17.5</v>
      </c>
      <c r="CC5" s="1">
        <f t="shared" si="31"/>
        <v>23.92</v>
      </c>
      <c r="CD5" s="1">
        <f t="shared" si="32"/>
        <v>21.06</v>
      </c>
      <c r="CE5" s="1">
        <f t="shared" si="33"/>
        <v>28.86</v>
      </c>
      <c r="CF5" s="1">
        <f t="shared" si="34"/>
        <v>52.899999999999991</v>
      </c>
      <c r="CG5" s="1">
        <f t="shared" si="35"/>
        <v>29.834999999999994</v>
      </c>
      <c r="CH5" s="1">
        <f t="shared" si="36"/>
        <v>57.475000000000001</v>
      </c>
      <c r="CI5" s="1">
        <f t="shared" si="37"/>
        <v>28.75</v>
      </c>
      <c r="CJ5" s="1">
        <f t="shared" si="38"/>
        <v>55.47</v>
      </c>
      <c r="CK5" s="1">
        <f t="shared" si="39"/>
        <v>25.08</v>
      </c>
    </row>
    <row r="6" spans="1:89" ht="16" x14ac:dyDescent="0.2">
      <c r="A6" s="8" t="s">
        <v>345</v>
      </c>
      <c r="B6" s="16" t="s">
        <v>1196</v>
      </c>
      <c r="C6" s="1"/>
      <c r="D6" s="1"/>
      <c r="E6" s="1"/>
      <c r="F6" s="1">
        <v>18.3</v>
      </c>
      <c r="G6" s="1">
        <v>19.7</v>
      </c>
      <c r="H6" s="1">
        <v>18.899999999999999</v>
      </c>
      <c r="I6" s="1">
        <v>17.899999999999999</v>
      </c>
      <c r="J6" s="1">
        <v>18.899999999999999</v>
      </c>
      <c r="K6" s="1">
        <v>20.6</v>
      </c>
      <c r="L6" s="1">
        <v>16.5</v>
      </c>
      <c r="M6" s="1">
        <v>18.7</v>
      </c>
      <c r="N6" s="1">
        <v>17.8</v>
      </c>
      <c r="O6" s="1">
        <v>17.8</v>
      </c>
      <c r="P6" s="1">
        <v>21</v>
      </c>
      <c r="Q6" s="1">
        <v>18.2</v>
      </c>
      <c r="R6" s="1">
        <v>12.4</v>
      </c>
      <c r="S6" s="1">
        <v>17.8</v>
      </c>
      <c r="T6" s="1">
        <v>17.3</v>
      </c>
      <c r="U6" s="1">
        <v>16.8</v>
      </c>
      <c r="V6" s="1">
        <v>16.600000000000001</v>
      </c>
      <c r="W6" s="1">
        <v>17.899999999999999</v>
      </c>
      <c r="X6" s="1">
        <v>20.100000000000001</v>
      </c>
      <c r="Y6" s="1">
        <v>18.7</v>
      </c>
      <c r="Z6" s="1">
        <v>20.399999999999999</v>
      </c>
      <c r="AA6" s="1">
        <v>16.7</v>
      </c>
      <c r="AB6" s="1">
        <v>9.1999999999999993</v>
      </c>
      <c r="AC6" s="1">
        <v>5.5</v>
      </c>
      <c r="AD6" s="1">
        <v>8.5</v>
      </c>
      <c r="AE6" s="1">
        <v>12.5</v>
      </c>
      <c r="AF6" s="1">
        <v>14.5</v>
      </c>
      <c r="AG6" s="1">
        <v>23.4</v>
      </c>
      <c r="AH6" s="1">
        <v>20.8</v>
      </c>
      <c r="AI6" s="1">
        <v>19.3</v>
      </c>
      <c r="AJ6" s="1">
        <v>16</v>
      </c>
      <c r="AK6" s="1">
        <v>15</v>
      </c>
      <c r="AL6" s="1">
        <v>8.9</v>
      </c>
      <c r="AM6" s="1">
        <v>9.1</v>
      </c>
      <c r="AN6" s="1">
        <v>10.3</v>
      </c>
      <c r="AO6" s="1">
        <v>10.4</v>
      </c>
      <c r="AP6" s="1">
        <v>4.9000000000000004</v>
      </c>
      <c r="AQ6" s="1">
        <v>3.4</v>
      </c>
      <c r="AR6" s="1">
        <v>6.6</v>
      </c>
      <c r="AS6" s="1">
        <v>5.5</v>
      </c>
      <c r="AU6" s="1"/>
      <c r="AV6" s="1"/>
      <c r="AW6" s="1"/>
      <c r="AX6" s="1">
        <v>18.3</v>
      </c>
      <c r="AY6" s="1">
        <f>(G6*0.1)+G6</f>
        <v>21.669999999999998</v>
      </c>
      <c r="AZ6" s="1">
        <f>(H6*0.1)+H6</f>
        <v>20.79</v>
      </c>
      <c r="BA6" s="1">
        <f>(I6*0.1)+I6</f>
        <v>19.689999999999998</v>
      </c>
      <c r="BB6" s="1">
        <f>(J6*0.3)+J6</f>
        <v>24.569999999999997</v>
      </c>
      <c r="BC6" s="1">
        <f>(K6*0.4)+K6</f>
        <v>28.840000000000003</v>
      </c>
      <c r="BD6" s="1">
        <f>(L6*0.55)+L6</f>
        <v>25.575000000000003</v>
      </c>
      <c r="BE6" s="1">
        <f>(M6*0.7)+M6</f>
        <v>31.79</v>
      </c>
      <c r="BF6" s="1">
        <f>(N6*0.85)+N6</f>
        <v>32.93</v>
      </c>
      <c r="BG6" s="1">
        <f>(O6*1.05)+O6</f>
        <v>36.49</v>
      </c>
      <c r="BH6" s="1">
        <f>(P6*1.25)+P6</f>
        <v>47.25</v>
      </c>
      <c r="BI6" s="1">
        <f>(Q6*1.35)+Q6</f>
        <v>42.769999999999996</v>
      </c>
      <c r="BJ6" s="1">
        <f>(R6*1.45)+R6</f>
        <v>30.380000000000003</v>
      </c>
      <c r="BK6" s="1">
        <f>(S6*1.6)+S6</f>
        <v>46.28</v>
      </c>
      <c r="BL6" s="1">
        <f>(T6*1.75)+T6</f>
        <v>47.575000000000003</v>
      </c>
      <c r="BM6" s="1">
        <f>(U6*1.75)+U6</f>
        <v>46.2</v>
      </c>
      <c r="BN6" s="1">
        <f>(V6*1.95)+V6</f>
        <v>48.970000000000006</v>
      </c>
      <c r="BO6" s="1">
        <f>(W6*2.1)+W6</f>
        <v>55.489999999999995</v>
      </c>
      <c r="BP6" s="1">
        <f>(X6*2.3)+X6</f>
        <v>66.33</v>
      </c>
      <c r="BQ6" s="1">
        <f>(Y6*2.4)+Y6</f>
        <v>63.58</v>
      </c>
      <c r="BR6" s="1">
        <f>(Z6*2.5)+Z6</f>
        <v>71.400000000000006</v>
      </c>
      <c r="BS6" s="1">
        <f>(AA6*2.65)+AA6</f>
        <v>60.954999999999998</v>
      </c>
      <c r="BT6" s="1">
        <f>(AB6*2.75)+AB6</f>
        <v>34.5</v>
      </c>
      <c r="BU6" s="1">
        <f>(AC6*2.85)+AC6</f>
        <v>21.175000000000001</v>
      </c>
      <c r="BV6" s="1">
        <f>(AD6*2.95)+AD6</f>
        <v>33.575000000000003</v>
      </c>
      <c r="BW6" s="1">
        <f>(AE6*3.05)+AE6</f>
        <v>50.625</v>
      </c>
      <c r="BX6" s="1">
        <f>(AF6*3.15)+AF6</f>
        <v>60.174999999999997</v>
      </c>
      <c r="BY6" s="1">
        <f>(AG6*3.3)+AG6</f>
        <v>100.61999999999998</v>
      </c>
      <c r="BZ6" s="1">
        <f>(AH6*3.45)+AH6</f>
        <v>92.56</v>
      </c>
      <c r="CA6" s="1">
        <f>(AI6*3.5)+AI6</f>
        <v>86.85</v>
      </c>
      <c r="CB6" s="1">
        <f>(AJ6*3.6)+AJ6</f>
        <v>73.599999999999994</v>
      </c>
      <c r="CC6" s="1">
        <f>(AK6*3.8)+AK6</f>
        <v>72</v>
      </c>
      <c r="CD6" s="1">
        <f>(AL6*4)+AL6</f>
        <v>44.5</v>
      </c>
      <c r="CE6" s="1">
        <f>(AM6*4.15)+AM6</f>
        <v>46.865000000000002</v>
      </c>
      <c r="CF6" s="1">
        <f>(AN6*4.35)+AN6</f>
        <v>55.105000000000004</v>
      </c>
      <c r="CG6" s="1">
        <f>(AO6*4.45)+AO6</f>
        <v>56.68</v>
      </c>
      <c r="CH6" s="1">
        <f>(AP6*4.65)+AP6</f>
        <v>27.685000000000002</v>
      </c>
      <c r="CI6" s="1">
        <f>(AQ6*4.85)+AQ6</f>
        <v>19.889999999999997</v>
      </c>
      <c r="CJ6" s="1">
        <f>(AR6*5.05)+AR6</f>
        <v>39.93</v>
      </c>
      <c r="CK6" s="1">
        <f>(AS6*5.2)+AS6</f>
        <v>34.1</v>
      </c>
    </row>
    <row r="7" spans="1:89" ht="16" x14ac:dyDescent="0.2">
      <c r="A7" s="8" t="s">
        <v>262</v>
      </c>
      <c r="B7" s="16" t="s">
        <v>1197</v>
      </c>
      <c r="G7" s="1">
        <v>0.4</v>
      </c>
      <c r="I7" s="1">
        <v>0.4</v>
      </c>
      <c r="J7" s="1">
        <v>0.5</v>
      </c>
      <c r="K7" s="1">
        <v>0.4</v>
      </c>
      <c r="L7" s="1">
        <v>0.2</v>
      </c>
      <c r="M7" s="1">
        <v>1.1000000000000001</v>
      </c>
      <c r="N7" s="1">
        <v>1.9</v>
      </c>
      <c r="O7" s="1">
        <v>2.4</v>
      </c>
      <c r="P7" s="1"/>
      <c r="Q7" s="1">
        <v>12.5</v>
      </c>
      <c r="R7" s="1">
        <v>6.8</v>
      </c>
      <c r="S7" s="1">
        <v>4.5999999999999996</v>
      </c>
      <c r="T7" s="1">
        <v>4.8</v>
      </c>
      <c r="U7" s="1">
        <v>4.3</v>
      </c>
      <c r="V7" s="1">
        <v>3.1</v>
      </c>
      <c r="W7" s="1">
        <v>1.1000000000000001</v>
      </c>
      <c r="X7" s="1">
        <v>1.2</v>
      </c>
      <c r="Y7" s="1">
        <v>0.8</v>
      </c>
      <c r="Z7" s="1">
        <v>1</v>
      </c>
      <c r="AA7" s="1">
        <v>1.4</v>
      </c>
      <c r="AB7" s="1">
        <v>3.6</v>
      </c>
      <c r="AC7" s="1">
        <v>4.2</v>
      </c>
      <c r="AD7" s="1">
        <v>3.7</v>
      </c>
      <c r="AE7" s="1">
        <v>1.9</v>
      </c>
      <c r="AF7" s="1">
        <v>1.1000000000000001</v>
      </c>
      <c r="AG7" s="1">
        <v>0.7</v>
      </c>
      <c r="AH7" s="1">
        <v>0.9</v>
      </c>
      <c r="AI7" s="1">
        <v>0.8</v>
      </c>
      <c r="AR7" s="1"/>
      <c r="AS7" s="1"/>
      <c r="AU7" s="1"/>
      <c r="AV7" s="1"/>
      <c r="AW7" s="1"/>
      <c r="AX7" s="1"/>
      <c r="AY7" s="1">
        <v>0.4</v>
      </c>
      <c r="AZ7" s="1"/>
      <c r="BA7" s="1">
        <v>0.4</v>
      </c>
      <c r="BB7" s="1">
        <f>(J7*0.2)+J7</f>
        <v>0.6</v>
      </c>
      <c r="BC7" s="1">
        <f>(K7*0.3)+K7</f>
        <v>0.52</v>
      </c>
      <c r="BD7" s="1">
        <f>(L7*0.45)+L7</f>
        <v>0.29000000000000004</v>
      </c>
      <c r="BE7" s="1">
        <f>(M7*0.6)+M7</f>
        <v>1.7600000000000002</v>
      </c>
      <c r="BF7" s="1">
        <f>(N7*0.75)+N7</f>
        <v>3.3249999999999997</v>
      </c>
      <c r="BG7" s="1">
        <f>(O7*0.95)+O7</f>
        <v>4.68</v>
      </c>
      <c r="BH7" s="1"/>
      <c r="BI7" s="1">
        <f>(Q7*1.25)+Q7</f>
        <v>28.125</v>
      </c>
      <c r="BJ7" s="1">
        <f>(R7*1.35)+R7</f>
        <v>15.98</v>
      </c>
      <c r="BK7" s="1">
        <f>(S7*1.5)+S7</f>
        <v>11.5</v>
      </c>
      <c r="BL7" s="1">
        <f>(T7*1.65)+T7</f>
        <v>12.719999999999999</v>
      </c>
      <c r="BM7" s="1">
        <f>(U7*1.65)+U7</f>
        <v>11.395</v>
      </c>
      <c r="BN7" s="1">
        <f>(V7*1.85)+V7</f>
        <v>8.8350000000000009</v>
      </c>
      <c r="BO7" s="1">
        <f>(W7*2)+W7</f>
        <v>3.3000000000000003</v>
      </c>
      <c r="BP7" s="1">
        <f>(X7*2.2)+X7</f>
        <v>3.84</v>
      </c>
      <c r="BQ7" s="1">
        <f>(Y7*2.3)+Y7</f>
        <v>2.6399999999999997</v>
      </c>
      <c r="BR7" s="1">
        <f>(Z7*2.4)+Z7</f>
        <v>3.4</v>
      </c>
      <c r="BS7" s="1">
        <f>(AA7*2.55)+AA7</f>
        <v>4.9699999999999989</v>
      </c>
      <c r="BT7" s="1">
        <f>(AB7*2.65)+AB7</f>
        <v>13.139999999999999</v>
      </c>
      <c r="BU7" s="1">
        <f>(AC7*2.75)+AC7</f>
        <v>15.75</v>
      </c>
      <c r="BV7" s="1">
        <f>(AD7*2.85)+AD7</f>
        <v>14.245000000000001</v>
      </c>
      <c r="BW7" s="1">
        <f>(AE7*2.95)+AE7</f>
        <v>7.5050000000000008</v>
      </c>
      <c r="BX7" s="1">
        <f>(AF7*3.05)+AF7</f>
        <v>4.4550000000000001</v>
      </c>
      <c r="BY7" s="1">
        <f>(AG7*3.2)+AG7</f>
        <v>2.9399999999999995</v>
      </c>
      <c r="BZ7" s="1">
        <f>(AH7*3.35)+AH7</f>
        <v>3.915</v>
      </c>
      <c r="CA7" s="1">
        <f>(AI7*3.4)+AI7</f>
        <v>3.5200000000000005</v>
      </c>
      <c r="CB7" s="1"/>
      <c r="CC7" s="1"/>
      <c r="CD7" s="1"/>
      <c r="CE7" s="1"/>
      <c r="CF7" s="1"/>
      <c r="CG7" s="1"/>
      <c r="CH7" s="1"/>
      <c r="CI7" s="1"/>
      <c r="CK7" s="1"/>
    </row>
    <row r="8" spans="1:89" ht="16" x14ac:dyDescent="0.2">
      <c r="A8" s="8" t="s">
        <v>261</v>
      </c>
      <c r="B8" s="16" t="s">
        <v>1198</v>
      </c>
      <c r="J8" s="1">
        <v>1</v>
      </c>
      <c r="K8" s="1">
        <v>1.3</v>
      </c>
      <c r="L8" s="1">
        <v>1.8</v>
      </c>
      <c r="M8" s="1">
        <v>2.7</v>
      </c>
      <c r="N8" s="1">
        <v>2.5</v>
      </c>
      <c r="O8" s="1">
        <v>2</v>
      </c>
      <c r="P8" s="1">
        <v>1.6</v>
      </c>
      <c r="Q8" s="1">
        <v>1.9</v>
      </c>
      <c r="R8" s="1">
        <v>4.5</v>
      </c>
      <c r="S8" s="1">
        <v>8.1999999999999993</v>
      </c>
      <c r="T8" s="1">
        <v>5.6</v>
      </c>
      <c r="U8" s="1">
        <v>3.5</v>
      </c>
      <c r="V8" s="1">
        <v>5.3</v>
      </c>
      <c r="W8" s="1">
        <v>2.2000000000000002</v>
      </c>
      <c r="X8" s="1">
        <v>1.3</v>
      </c>
      <c r="Y8" s="1">
        <v>0.7</v>
      </c>
      <c r="Z8" s="1">
        <v>0.7</v>
      </c>
      <c r="AA8" s="1">
        <v>1.7</v>
      </c>
      <c r="AB8" s="1">
        <v>2.9</v>
      </c>
      <c r="AC8" s="1">
        <v>1.8</v>
      </c>
      <c r="AD8" s="1">
        <v>3.3</v>
      </c>
      <c r="AE8" s="1">
        <v>2.6</v>
      </c>
      <c r="AF8" s="1">
        <v>1.4</v>
      </c>
      <c r="AG8" s="1">
        <v>1.5</v>
      </c>
      <c r="AH8" s="1">
        <v>0.5</v>
      </c>
      <c r="AJ8" s="1">
        <v>0.5</v>
      </c>
      <c r="AR8" s="1"/>
      <c r="AS8" s="1"/>
      <c r="AU8" s="1"/>
      <c r="AV8" s="1"/>
      <c r="AW8" s="1"/>
      <c r="AX8" s="1"/>
      <c r="AY8" s="1"/>
      <c r="AZ8" s="1"/>
      <c r="BA8" s="1"/>
      <c r="BB8" s="1">
        <v>1</v>
      </c>
      <c r="BC8" s="1">
        <f>(K8*0.1)+K8</f>
        <v>1.4300000000000002</v>
      </c>
      <c r="BD8" s="1">
        <f>(L8*0.25)+L8</f>
        <v>2.25</v>
      </c>
      <c r="BE8" s="1">
        <f>(M8*0.4)+M8</f>
        <v>3.7800000000000002</v>
      </c>
      <c r="BF8" s="1">
        <f>(N8*0.55)+N8</f>
        <v>3.875</v>
      </c>
      <c r="BG8" s="1">
        <f>(O8*0.75)+O8</f>
        <v>3.5</v>
      </c>
      <c r="BH8" s="1">
        <f>(P8*0.95)+P8</f>
        <v>3.12</v>
      </c>
      <c r="BI8" s="1">
        <f>(Q8*1.05)+Q8</f>
        <v>3.8949999999999996</v>
      </c>
      <c r="BJ8" s="1">
        <f>(R8*1.15)+R8</f>
        <v>9.6750000000000007</v>
      </c>
      <c r="BK8" s="1">
        <f>(S8*1.3)+S8</f>
        <v>18.86</v>
      </c>
      <c r="BL8" s="1">
        <f>(T8*1.45)+T8</f>
        <v>13.719999999999999</v>
      </c>
      <c r="BM8" s="1">
        <f>(U8*1.45)+U8</f>
        <v>8.5749999999999993</v>
      </c>
      <c r="BN8" s="1">
        <f>(V8*1.65)+V8</f>
        <v>14.044999999999998</v>
      </c>
      <c r="BO8" s="1">
        <f>(W8*1.8)+W8</f>
        <v>6.16</v>
      </c>
      <c r="BP8" s="1">
        <f>(X8*2)+X8</f>
        <v>3.9000000000000004</v>
      </c>
      <c r="BQ8" s="1">
        <f>(Y8*2.1)+Y8</f>
        <v>2.17</v>
      </c>
      <c r="BR8" s="1">
        <f>(Z8*2.2)+Z8</f>
        <v>2.2400000000000002</v>
      </c>
      <c r="BS8" s="1">
        <f>(AA8*2.35)+AA8</f>
        <v>5.6950000000000003</v>
      </c>
      <c r="BT8" s="1">
        <f>(AB8*2.45)+AB8</f>
        <v>10.005000000000001</v>
      </c>
      <c r="BU8" s="1">
        <f>(AC8*2.55)+AC8</f>
        <v>6.39</v>
      </c>
      <c r="BV8" s="1">
        <f>(AD8*2.65)+AD8</f>
        <v>12.044999999999998</v>
      </c>
      <c r="BW8" s="1">
        <f>(AE8*2.75)+AE8</f>
        <v>9.75</v>
      </c>
      <c r="BX8" s="1">
        <f>(AF8*2.85)+AF8</f>
        <v>5.39</v>
      </c>
      <c r="BY8" s="1">
        <f>(AG8*3)+AG8</f>
        <v>6</v>
      </c>
      <c r="BZ8" s="1">
        <f>(AH8*3.15)+AH8</f>
        <v>2.0750000000000002</v>
      </c>
      <c r="CA8" s="1"/>
      <c r="CB8" s="1">
        <f>(AJ8*3.3)+AJ8</f>
        <v>2.15</v>
      </c>
      <c r="CC8" s="1"/>
      <c r="CD8" s="1"/>
      <c r="CE8" s="1"/>
      <c r="CF8" s="1"/>
      <c r="CG8" s="1"/>
      <c r="CH8" s="1"/>
      <c r="CI8" s="1"/>
      <c r="CK8" s="1"/>
    </row>
    <row r="9" spans="1:89" ht="16" x14ac:dyDescent="0.2">
      <c r="A9" s="8" t="s">
        <v>478</v>
      </c>
      <c r="B9" s="16" t="s">
        <v>915</v>
      </c>
      <c r="N9" s="1">
        <v>3.2</v>
      </c>
      <c r="O9" s="1">
        <v>3</v>
      </c>
      <c r="P9" s="1">
        <v>1.2</v>
      </c>
      <c r="Q9" s="1"/>
      <c r="R9" s="1"/>
      <c r="W9" s="1"/>
      <c r="X9" s="1"/>
      <c r="AR9" s="1"/>
      <c r="AS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>
        <v>3.2</v>
      </c>
      <c r="BG9" s="1">
        <f>(O9*0.2)+O9</f>
        <v>3.6</v>
      </c>
      <c r="BH9" s="1">
        <f>(P9*0.4)+P9</f>
        <v>1.68</v>
      </c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K9" s="1"/>
    </row>
    <row r="10" spans="1:89" ht="16" x14ac:dyDescent="0.2">
      <c r="A10" s="8" t="s">
        <v>198</v>
      </c>
      <c r="B10" s="16" t="s">
        <v>1199</v>
      </c>
      <c r="P10" s="1">
        <v>2.2000000000000002</v>
      </c>
      <c r="Q10" s="1">
        <v>3.1</v>
      </c>
      <c r="R10" s="1">
        <v>1.2</v>
      </c>
      <c r="T10" s="1">
        <v>0.8</v>
      </c>
      <c r="W10" s="1"/>
      <c r="X10" s="1">
        <v>0.4</v>
      </c>
      <c r="AR10" s="1"/>
      <c r="AS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>
        <v>2.2000000000000002</v>
      </c>
      <c r="BI10" s="1">
        <f>(Q10*0.1)+Q10</f>
        <v>3.41</v>
      </c>
      <c r="BJ10" s="1">
        <f>(R10*0.2)+R10</f>
        <v>1.44</v>
      </c>
      <c r="BK10" s="1"/>
      <c r="BL10" s="1">
        <f>(T10*0.5)+T10</f>
        <v>1.2000000000000002</v>
      </c>
      <c r="BM10" s="1"/>
      <c r="BN10" s="1"/>
      <c r="BO10" s="1"/>
      <c r="BP10" s="1">
        <f>(X10*1.05)+X10</f>
        <v>0.82000000000000006</v>
      </c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K10" s="1"/>
    </row>
    <row r="11" spans="1:89" ht="16" x14ac:dyDescent="0.2">
      <c r="A11" s="8" t="s">
        <v>363</v>
      </c>
      <c r="B11" s="16" t="s">
        <v>1200</v>
      </c>
      <c r="P11" s="1"/>
      <c r="Q11" s="1"/>
      <c r="R11" s="1"/>
      <c r="T11" s="1"/>
      <c r="U11" s="1">
        <v>2.7</v>
      </c>
      <c r="V11" s="1">
        <v>2.2999999999999998</v>
      </c>
      <c r="W11" s="1">
        <v>3.3</v>
      </c>
      <c r="X11" s="1">
        <v>2.5</v>
      </c>
      <c r="Y11" s="1">
        <v>1.6</v>
      </c>
      <c r="Z11" s="1">
        <v>0.5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>
        <v>2.7</v>
      </c>
      <c r="BN11" s="1">
        <f>(V11*0.2)+V11</f>
        <v>2.76</v>
      </c>
      <c r="BO11" s="1">
        <f>(W11*0.35)+W11</f>
        <v>4.4550000000000001</v>
      </c>
      <c r="BP11" s="1">
        <f>(X11*0.55)+X11</f>
        <v>3.875</v>
      </c>
      <c r="BQ11" s="1">
        <f>(Y11*0.65)+Y11</f>
        <v>2.64</v>
      </c>
      <c r="BR11" s="1">
        <f>(Z11*0.75)+Z11</f>
        <v>0.875</v>
      </c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K11" s="1"/>
    </row>
    <row r="12" spans="1:89" ht="16" x14ac:dyDescent="0.2">
      <c r="A12" s="8" t="s">
        <v>283</v>
      </c>
      <c r="B12" s="16" t="s">
        <v>904</v>
      </c>
      <c r="P12" s="1"/>
      <c r="Q12" s="1"/>
      <c r="R12" s="1"/>
      <c r="T12" s="1"/>
      <c r="U12" s="1"/>
      <c r="V12" s="1"/>
      <c r="W12" s="1">
        <v>6.1</v>
      </c>
      <c r="X12" s="1">
        <v>5.8</v>
      </c>
      <c r="Y12" s="1">
        <v>10.9</v>
      </c>
      <c r="Z12" s="1">
        <v>6.1</v>
      </c>
      <c r="AA12" s="1">
        <v>9.1</v>
      </c>
      <c r="AB12" s="1">
        <v>6</v>
      </c>
      <c r="AC12" s="1">
        <v>5</v>
      </c>
      <c r="AD12" s="1">
        <v>3.9</v>
      </c>
      <c r="AE12" s="1">
        <v>5.9</v>
      </c>
      <c r="AF12" s="1">
        <v>11.3</v>
      </c>
      <c r="AG12" s="1">
        <v>11.5</v>
      </c>
      <c r="AH12" s="1">
        <v>14.6</v>
      </c>
      <c r="AI12" s="1">
        <v>13</v>
      </c>
      <c r="AJ12" s="1">
        <v>8.3000000000000007</v>
      </c>
      <c r="AK12" s="1">
        <v>7.3</v>
      </c>
      <c r="AL12" s="1">
        <v>7.6</v>
      </c>
      <c r="AM12" s="1">
        <v>6.4</v>
      </c>
      <c r="AN12" s="1">
        <v>6</v>
      </c>
      <c r="AO12" s="1">
        <v>13</v>
      </c>
      <c r="AP12" s="1">
        <v>9.1999999999999993</v>
      </c>
      <c r="AQ12" s="1">
        <v>4.2</v>
      </c>
      <c r="AR12" s="1">
        <v>7.7</v>
      </c>
      <c r="AS12" s="1">
        <v>8.3000000000000007</v>
      </c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>
        <v>6.1</v>
      </c>
      <c r="BP12" s="1">
        <f>(X12*0.2)+X12</f>
        <v>6.96</v>
      </c>
      <c r="BQ12" s="1">
        <f>(Y12*0.3)+Y12</f>
        <v>14.17</v>
      </c>
      <c r="BR12" s="1">
        <f>(Z12*0.4)+Z12</f>
        <v>8.5399999999999991</v>
      </c>
      <c r="BS12" s="1">
        <f>(AA12*0.55)+AA12</f>
        <v>14.105</v>
      </c>
      <c r="BT12" s="1">
        <f>(AB12*0.65)+AB12</f>
        <v>9.9</v>
      </c>
      <c r="BU12" s="1">
        <f>(AC12*0.75)+AC12</f>
        <v>8.75</v>
      </c>
      <c r="BV12" s="1">
        <f>(AD12*0.85)+AD12</f>
        <v>7.2149999999999999</v>
      </c>
      <c r="BW12" s="1">
        <f>(AE12*0.95)+AE12</f>
        <v>11.505000000000001</v>
      </c>
      <c r="BX12" s="1">
        <f>(AF12*1.05)+AF12</f>
        <v>23.165000000000003</v>
      </c>
      <c r="BY12" s="1">
        <f>(AG12*1.2)+AG12</f>
        <v>25.299999999999997</v>
      </c>
      <c r="BZ12" s="1">
        <f>(AH12*1.35)+AH12</f>
        <v>34.31</v>
      </c>
      <c r="CA12" s="1">
        <f>(AI12*1.4)+AI12</f>
        <v>31.2</v>
      </c>
      <c r="CB12" s="1">
        <f>(AJ12*1.5)+AJ12</f>
        <v>20.75</v>
      </c>
      <c r="CC12" s="1">
        <f>(AK12*1.7)+AK12</f>
        <v>19.71</v>
      </c>
      <c r="CD12" s="1">
        <f>(AL12*1.9)+AL12</f>
        <v>22.04</v>
      </c>
      <c r="CE12" s="1">
        <f>(AM12*2.05)+AM12</f>
        <v>19.52</v>
      </c>
      <c r="CF12" s="1">
        <f>(AN12*2.25)+AN12</f>
        <v>19.5</v>
      </c>
      <c r="CG12" s="1">
        <f>(AO12*2.35)+AO12</f>
        <v>43.55</v>
      </c>
      <c r="CH12" s="1">
        <f>(AP12*2.55)+AP12</f>
        <v>32.659999999999997</v>
      </c>
      <c r="CI12" s="1">
        <f>(AQ12*2.75)+AQ12</f>
        <v>15.75</v>
      </c>
      <c r="CJ12" s="1">
        <f>(AR12*2.95)+AR12</f>
        <v>30.415000000000003</v>
      </c>
      <c r="CK12" s="1">
        <f>(AS12*3.1)+AS12</f>
        <v>34.03</v>
      </c>
    </row>
    <row r="13" spans="1:89" ht="16" x14ac:dyDescent="0.2">
      <c r="A13" s="8" t="s">
        <v>364</v>
      </c>
      <c r="B13" s="16" t="s">
        <v>1201</v>
      </c>
      <c r="P13" s="1"/>
      <c r="Q13" s="1"/>
      <c r="R13" s="1"/>
      <c r="T13" s="1"/>
      <c r="U13" s="1"/>
      <c r="V13" s="1"/>
      <c r="W13" s="1"/>
      <c r="X13" s="1"/>
      <c r="Y13" s="1"/>
      <c r="Z13" s="1">
        <v>2</v>
      </c>
      <c r="AA13" s="1">
        <v>1.6</v>
      </c>
      <c r="AB13" s="1">
        <v>1.5</v>
      </c>
      <c r="AC13" s="1">
        <v>2.1</v>
      </c>
      <c r="AD13" s="1">
        <v>2.7</v>
      </c>
      <c r="AE13" s="1">
        <v>3.7</v>
      </c>
      <c r="AF13" s="1">
        <v>2.7</v>
      </c>
      <c r="AG13" s="1">
        <v>2.7</v>
      </c>
      <c r="AH13" s="1">
        <v>1.4</v>
      </c>
      <c r="AI13" s="1">
        <v>0.6</v>
      </c>
      <c r="AJ13" s="1"/>
      <c r="AK13" s="1"/>
      <c r="AL13" s="1"/>
      <c r="AM13" s="1"/>
      <c r="AN13" s="1"/>
      <c r="AO13" s="1"/>
      <c r="AP13" s="1"/>
      <c r="AQ13" s="1"/>
      <c r="AR13" s="1"/>
      <c r="AS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>
        <v>2</v>
      </c>
      <c r="BS13" s="1">
        <f>(AA13*0.15)+AA13</f>
        <v>1.84</v>
      </c>
      <c r="BT13" s="1">
        <f>(AB13*0.25)+AB13</f>
        <v>1.875</v>
      </c>
      <c r="BU13" s="1">
        <f>(AC13*0.35)+AC13</f>
        <v>2.835</v>
      </c>
      <c r="BV13" s="1">
        <f>(AD13*0.45)+AD13</f>
        <v>3.915</v>
      </c>
      <c r="BW13" s="1">
        <f>(AE13*0.55)+AE13</f>
        <v>5.7350000000000003</v>
      </c>
      <c r="BX13" s="1">
        <f>(AF13*0.65)+AF13</f>
        <v>4.4550000000000001</v>
      </c>
      <c r="BY13" s="1">
        <f>(AG13*0.8)+AG13</f>
        <v>4.8600000000000003</v>
      </c>
      <c r="BZ13" s="1">
        <f>(AH13*0.95)+AH13</f>
        <v>2.7299999999999995</v>
      </c>
      <c r="CA13" s="1">
        <f>(AI13*1)+AI13</f>
        <v>1.2</v>
      </c>
      <c r="CB13" s="1"/>
      <c r="CC13" s="1"/>
      <c r="CD13" s="1"/>
      <c r="CE13" s="1"/>
      <c r="CF13" s="1"/>
      <c r="CG13" s="1"/>
      <c r="CH13" s="1"/>
      <c r="CI13" s="1"/>
      <c r="CK13" s="1"/>
    </row>
    <row r="14" spans="1:89" ht="16" x14ac:dyDescent="0.2">
      <c r="A14" s="8" t="s">
        <v>251</v>
      </c>
      <c r="B14" s="16" t="s">
        <v>769</v>
      </c>
      <c r="P14" s="1"/>
      <c r="Q14" s="1"/>
      <c r="R14" s="1"/>
      <c r="T14" s="1"/>
      <c r="U14" s="1"/>
      <c r="V14" s="1"/>
      <c r="W14" s="1"/>
      <c r="X14" s="1"/>
      <c r="Y14" s="1"/>
      <c r="Z14" s="1"/>
      <c r="AA14" s="1">
        <v>2</v>
      </c>
      <c r="AB14" s="1">
        <v>4</v>
      </c>
      <c r="AC14" s="1">
        <v>5.3</v>
      </c>
      <c r="AD14" s="1">
        <v>3.4</v>
      </c>
      <c r="AE14" s="1">
        <v>2.6</v>
      </c>
      <c r="AF14" s="1">
        <v>2.2999999999999998</v>
      </c>
      <c r="AG14" s="1">
        <v>2.7</v>
      </c>
      <c r="AH14" s="1">
        <v>2.4</v>
      </c>
      <c r="AI14" s="1">
        <v>2</v>
      </c>
      <c r="AJ14" s="1">
        <v>2.2999999999999998</v>
      </c>
      <c r="AK14" s="1">
        <v>1.9</v>
      </c>
      <c r="AL14" s="1">
        <v>2.5</v>
      </c>
      <c r="AM14" s="1">
        <v>2.2999999999999998</v>
      </c>
      <c r="AN14" s="1">
        <v>1.7</v>
      </c>
      <c r="AO14" s="1">
        <v>0.9</v>
      </c>
      <c r="AP14" s="1">
        <v>0.8</v>
      </c>
      <c r="AQ14" s="1">
        <v>0.8</v>
      </c>
      <c r="AR14" s="1">
        <v>1.7</v>
      </c>
      <c r="AS14" s="1">
        <v>0.5</v>
      </c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>
        <v>2</v>
      </c>
      <c r="BT14" s="1">
        <f>(AB14*0.1)+AB14</f>
        <v>4.4000000000000004</v>
      </c>
      <c r="BU14" s="1">
        <f>(AC14*0.2)+AC14</f>
        <v>6.3599999999999994</v>
      </c>
      <c r="BV14" s="1">
        <f>(AD14*0.3)+AD14</f>
        <v>4.42</v>
      </c>
      <c r="BW14" s="1">
        <f>(AE14*0.4)+AE14</f>
        <v>3.64</v>
      </c>
      <c r="BX14" s="1">
        <f>(AF14*0.5)+AF14</f>
        <v>3.4499999999999997</v>
      </c>
      <c r="BY14" s="1">
        <f>(AG14*0.65)+AG14</f>
        <v>4.4550000000000001</v>
      </c>
      <c r="BZ14" s="1">
        <f>(AH14*0.8)+AH14</f>
        <v>4.32</v>
      </c>
      <c r="CA14" s="1">
        <f>(AI14*0.85)+AI14</f>
        <v>3.7</v>
      </c>
      <c r="CB14" s="1">
        <f>(AJ14*0.95)+AJ14</f>
        <v>4.4849999999999994</v>
      </c>
      <c r="CC14" s="1">
        <f>(AK14*1.15)+AK14</f>
        <v>4.0849999999999991</v>
      </c>
      <c r="CD14" s="1">
        <f>(AL14*1.35)+AL14</f>
        <v>5.875</v>
      </c>
      <c r="CE14" s="1">
        <f>(AM14*1.5)+AM14</f>
        <v>5.75</v>
      </c>
      <c r="CF14" s="1">
        <f>(AN14*1.7)+AN14</f>
        <v>4.59</v>
      </c>
      <c r="CG14" s="1">
        <f>(AO14*1.8)+AO14</f>
        <v>2.52</v>
      </c>
      <c r="CH14" s="1">
        <f>(AP14*2)+AP14</f>
        <v>2.4000000000000004</v>
      </c>
      <c r="CI14" s="1">
        <f>(AQ14*2.2)+AQ14</f>
        <v>2.5600000000000005</v>
      </c>
      <c r="CJ14" s="1">
        <f>(AR14*2.4)+AR14</f>
        <v>5.78</v>
      </c>
      <c r="CK14" s="1">
        <f>(AS14*2.55)+AS14</f>
        <v>1.7749999999999999</v>
      </c>
    </row>
    <row r="15" spans="1:89" ht="16" x14ac:dyDescent="0.2">
      <c r="A15" s="8" t="s">
        <v>250</v>
      </c>
      <c r="B15" s="16" t="s">
        <v>905</v>
      </c>
      <c r="P15" s="1"/>
      <c r="Q15" s="1"/>
      <c r="R15" s="1"/>
      <c r="T15" s="1"/>
      <c r="U15" s="1"/>
      <c r="V15" s="1"/>
      <c r="W15" s="1"/>
      <c r="X15" s="1"/>
      <c r="Y15" s="1"/>
      <c r="Z15" s="1"/>
      <c r="AA15" s="1"/>
      <c r="AB15" s="1">
        <v>15.9</v>
      </c>
      <c r="AC15" s="1">
        <v>13.6</v>
      </c>
      <c r="AD15" s="1">
        <v>14.6</v>
      </c>
      <c r="AE15" s="1">
        <v>11</v>
      </c>
      <c r="AF15" s="1">
        <v>8.9</v>
      </c>
      <c r="AG15" s="1">
        <v>3.6</v>
      </c>
      <c r="AH15" s="1">
        <v>4.8</v>
      </c>
      <c r="AI15" s="1">
        <v>9</v>
      </c>
      <c r="AJ15" s="1">
        <v>6.4</v>
      </c>
      <c r="AK15" s="1">
        <v>6.4</v>
      </c>
      <c r="AL15" s="1">
        <v>2.4</v>
      </c>
      <c r="AM15" s="1">
        <v>0.5</v>
      </c>
      <c r="AN15" s="1"/>
      <c r="AO15" s="1"/>
      <c r="AP15" s="1"/>
      <c r="AQ15" s="1"/>
      <c r="AR15" s="1"/>
      <c r="AS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>
        <v>15.9</v>
      </c>
      <c r="BU15" s="1">
        <f>(AC15*0.1)+AC15</f>
        <v>14.959999999999999</v>
      </c>
      <c r="BV15" s="1">
        <f>(AD15*0.2)+AD15</f>
        <v>17.52</v>
      </c>
      <c r="BW15" s="1">
        <f>(AE15*0.3)+AE15</f>
        <v>14.3</v>
      </c>
      <c r="BX15" s="1">
        <f>(AF15*0.4)+AF15</f>
        <v>12.46</v>
      </c>
      <c r="BY15" s="1">
        <f>(AG15*0.55)+AG15</f>
        <v>5.58</v>
      </c>
      <c r="BZ15" s="1">
        <f>(AH15*0.7)+AH15</f>
        <v>8.16</v>
      </c>
      <c r="CA15" s="1">
        <f>(AI15*0.75)+AI15</f>
        <v>15.75</v>
      </c>
      <c r="CB15" s="1">
        <f>(AJ15*0.85)+AJ15</f>
        <v>11.84</v>
      </c>
      <c r="CC15" s="1">
        <f>(AK15*1.05)+AK15</f>
        <v>13.120000000000001</v>
      </c>
      <c r="CD15" s="1">
        <f>(AL15*1.25)+AL15</f>
        <v>5.4</v>
      </c>
      <c r="CE15" s="1">
        <f>(AM15*1.4)+AM15</f>
        <v>1.2</v>
      </c>
      <c r="CF15" s="1"/>
      <c r="CG15" s="1"/>
      <c r="CH15" s="1"/>
      <c r="CI15" s="1"/>
    </row>
    <row r="16" spans="1:89" ht="16" x14ac:dyDescent="0.2">
      <c r="A16" s="8" t="s">
        <v>1346</v>
      </c>
      <c r="B16" s="16" t="s">
        <v>1497</v>
      </c>
      <c r="P16" s="1"/>
      <c r="Q16" s="1"/>
      <c r="R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>
        <v>9.3000000000000007</v>
      </c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K16" s="1">
        <v>9.3000000000000007</v>
      </c>
    </row>
    <row r="17" spans="1:89" ht="16" x14ac:dyDescent="0.2">
      <c r="A17" s="8" t="s">
        <v>1495</v>
      </c>
      <c r="B17" s="16" t="s">
        <v>1496</v>
      </c>
      <c r="P17" s="1"/>
      <c r="Q17" s="1"/>
      <c r="R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>
        <v>8.1</v>
      </c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K17" s="1">
        <v>8.1</v>
      </c>
    </row>
    <row r="18" spans="1:89" ht="16" x14ac:dyDescent="0.2">
      <c r="A18" s="8" t="s">
        <v>1493</v>
      </c>
      <c r="B18" s="16" t="s">
        <v>1494</v>
      </c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>
        <v>2.4</v>
      </c>
      <c r="AS18" s="1">
        <v>3.7</v>
      </c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>
        <v>2.4</v>
      </c>
      <c r="CK18" s="1">
        <f>(AS18*0.15)+AS18</f>
        <v>4.2549999999999999</v>
      </c>
    </row>
    <row r="19" spans="1:89" ht="16" x14ac:dyDescent="0.2">
      <c r="A19" s="8" t="s">
        <v>365</v>
      </c>
      <c r="B19" s="16" t="s">
        <v>1202</v>
      </c>
      <c r="P19" s="1"/>
      <c r="Q19" s="1"/>
      <c r="R19" s="1"/>
      <c r="T19" s="1"/>
      <c r="U19" s="1"/>
      <c r="V19" s="1"/>
      <c r="W19" s="1"/>
      <c r="X19" s="1"/>
      <c r="Y19" s="1"/>
      <c r="Z19" s="1"/>
      <c r="AA19" s="1"/>
      <c r="AB19" s="1">
        <v>7.8</v>
      </c>
      <c r="AC19" s="1">
        <v>2.2000000000000002</v>
      </c>
      <c r="AD19" s="1">
        <v>6.4</v>
      </c>
      <c r="AE19" s="1">
        <v>3.2</v>
      </c>
      <c r="AF19" s="1">
        <v>8.3000000000000007</v>
      </c>
      <c r="AG19" s="1">
        <v>4.5999999999999996</v>
      </c>
      <c r="AH19" s="1">
        <v>4.8</v>
      </c>
      <c r="AI19" s="1">
        <v>4.7</v>
      </c>
      <c r="AJ19" s="1">
        <v>5.0999999999999996</v>
      </c>
      <c r="AK19" s="1">
        <v>2.8</v>
      </c>
      <c r="AL19" s="1">
        <v>4.3</v>
      </c>
      <c r="AM19" s="1">
        <v>1.8</v>
      </c>
      <c r="AN19" s="1">
        <v>1</v>
      </c>
      <c r="AO19" s="1"/>
      <c r="AP19" s="1"/>
      <c r="AQ19" s="1"/>
      <c r="AR19" s="1"/>
      <c r="AS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>
        <v>7.8</v>
      </c>
      <c r="BU19" s="1">
        <f>(AC19*0.1)+AC19</f>
        <v>2.4200000000000004</v>
      </c>
      <c r="BV19" s="1">
        <f>(AD19*0.2)+AD19</f>
        <v>7.6800000000000006</v>
      </c>
      <c r="BW19" s="1">
        <f>(AE19*0.3)+AE19</f>
        <v>4.16</v>
      </c>
      <c r="BX19" s="1">
        <f>(AF19*0.4)+AF19</f>
        <v>11.620000000000001</v>
      </c>
      <c r="BY19" s="1">
        <f>(AG19*0.55)+AG19</f>
        <v>7.129999999999999</v>
      </c>
      <c r="BZ19" s="1">
        <f>(AH19*0.7)+AH19</f>
        <v>8.16</v>
      </c>
      <c r="CA19" s="1">
        <f>(AI19*0.75)+AI19</f>
        <v>8.2250000000000014</v>
      </c>
      <c r="CB19" s="1">
        <f>(AJ19*0.85)+AJ19</f>
        <v>9.4349999999999987</v>
      </c>
      <c r="CC19" s="1">
        <f>(AK19*1.05)+AK19</f>
        <v>5.74</v>
      </c>
      <c r="CD19" s="1">
        <f>(AL19*1.25)+AL19</f>
        <v>9.6750000000000007</v>
      </c>
      <c r="CE19" s="1">
        <f>(AM19*1.4)+AM19</f>
        <v>4.32</v>
      </c>
      <c r="CF19" s="1">
        <f>(AN19*1.6)+AN19</f>
        <v>2.6</v>
      </c>
      <c r="CG19" s="1"/>
      <c r="CH19" s="1"/>
      <c r="CI19" s="1"/>
      <c r="CK19" s="1"/>
    </row>
    <row r="20" spans="1:89" ht="16" x14ac:dyDescent="0.2">
      <c r="A20" s="8" t="s">
        <v>479</v>
      </c>
      <c r="B20" s="16" t="s">
        <v>1203</v>
      </c>
      <c r="P20" s="1"/>
      <c r="Q20" s="1"/>
      <c r="R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>
        <v>1.7</v>
      </c>
      <c r="AK20" s="1">
        <v>3.1</v>
      </c>
      <c r="AL20" s="1">
        <v>2.7</v>
      </c>
      <c r="AM20" s="1">
        <v>2.4</v>
      </c>
      <c r="AN20" s="1">
        <v>3.4</v>
      </c>
      <c r="AO20" s="1">
        <v>2.2000000000000002</v>
      </c>
      <c r="AP20" s="1">
        <v>6.7</v>
      </c>
      <c r="AQ20" s="1">
        <v>7.8</v>
      </c>
      <c r="AR20" s="1">
        <v>6.9</v>
      </c>
      <c r="AS20" s="1">
        <v>5.0999999999999996</v>
      </c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>
        <v>1.7</v>
      </c>
      <c r="CC20" s="1">
        <f>(AK20*0.2)+AK20</f>
        <v>3.72</v>
      </c>
      <c r="CD20" s="1">
        <f>(AL20*0.4)+AL20</f>
        <v>3.7800000000000002</v>
      </c>
      <c r="CE20" s="1">
        <f>(AM20*0.55)+AM20</f>
        <v>3.7199999999999998</v>
      </c>
      <c r="CF20" s="1">
        <f>(AN20*0.75)+AN20</f>
        <v>5.9499999999999993</v>
      </c>
      <c r="CG20" s="1">
        <f>(AO20*0.85)+AO20</f>
        <v>4.07</v>
      </c>
      <c r="CH20" s="1">
        <f>(AP20*1.05)+AP20</f>
        <v>13.734999999999999</v>
      </c>
      <c r="CI20" s="1">
        <f>(AQ20*1.25)+AQ20</f>
        <v>17.55</v>
      </c>
      <c r="CJ20" s="1">
        <f>(AR20*1.45)+AR20</f>
        <v>16.905000000000001</v>
      </c>
      <c r="CK20" s="1">
        <f>(AS20*1.6)+AS20</f>
        <v>13.26</v>
      </c>
    </row>
    <row r="21" spans="1:89" ht="16" x14ac:dyDescent="0.2">
      <c r="A21" s="8" t="s">
        <v>366</v>
      </c>
      <c r="B21" s="16" t="s">
        <v>1204</v>
      </c>
      <c r="P21" s="1"/>
      <c r="Q21" s="1"/>
      <c r="R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>
        <v>7.4</v>
      </c>
      <c r="AM21" s="1">
        <v>12</v>
      </c>
      <c r="AN21" s="1">
        <v>13.3</v>
      </c>
      <c r="AO21" s="1">
        <v>13.9</v>
      </c>
      <c r="AP21" s="1">
        <v>12.3</v>
      </c>
      <c r="AQ21" s="1">
        <v>21.1</v>
      </c>
      <c r="AR21" s="1">
        <v>8.6999999999999993</v>
      </c>
      <c r="AS21" s="1">
        <v>2.6</v>
      </c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>
        <v>7.4</v>
      </c>
      <c r="CE21" s="1">
        <f>(AM21*0.15)+AM21</f>
        <v>13.8</v>
      </c>
      <c r="CF21" s="1">
        <f>(AN21*0.35)+AN21</f>
        <v>17.955000000000002</v>
      </c>
      <c r="CG21" s="1">
        <f>(AO21*0.45)+AO21</f>
        <v>20.155000000000001</v>
      </c>
      <c r="CH21" s="1">
        <f>(AP21*0.65)+AP21</f>
        <v>20.295000000000002</v>
      </c>
      <c r="CI21" s="1">
        <f>(AQ21*0.85)+AQ21</f>
        <v>39.035000000000004</v>
      </c>
      <c r="CJ21" s="1">
        <f>(AR21*1.05)+AR21</f>
        <v>17.835000000000001</v>
      </c>
      <c r="CK21" s="1">
        <f>(AS21*1.2)+AS21</f>
        <v>5.7200000000000006</v>
      </c>
    </row>
    <row r="22" spans="1:89" ht="16" x14ac:dyDescent="0.2">
      <c r="A22" s="8" t="s">
        <v>80</v>
      </c>
      <c r="B22" s="16" t="s">
        <v>1205</v>
      </c>
      <c r="P22" s="1"/>
      <c r="Q22" s="1"/>
      <c r="R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>
        <v>4.8</v>
      </c>
      <c r="AR22" s="1">
        <v>3</v>
      </c>
      <c r="AS22" s="1">
        <v>3.3</v>
      </c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>
        <v>4.8</v>
      </c>
      <c r="CJ22" s="1">
        <f>(AR22*0.2)+AR22</f>
        <v>3.6</v>
      </c>
      <c r="CK22" s="1">
        <f>(AS22*0.35)+AS22</f>
        <v>4.4550000000000001</v>
      </c>
    </row>
    <row r="23" spans="1:89" ht="16" x14ac:dyDescent="0.2">
      <c r="A23" s="8" t="s">
        <v>367</v>
      </c>
      <c r="B23" s="16" t="s">
        <v>1206</v>
      </c>
      <c r="P23" s="1"/>
      <c r="Q23" s="1"/>
      <c r="R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>
        <v>2.8</v>
      </c>
      <c r="AP23" s="1">
        <v>5</v>
      </c>
      <c r="AQ23" s="1">
        <v>7.5</v>
      </c>
      <c r="AR23" s="1">
        <v>2.2999999999999998</v>
      </c>
      <c r="AS23" s="1">
        <v>7.9</v>
      </c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>
        <v>2.8</v>
      </c>
      <c r="CH23" s="1">
        <f>(AP23*0.2)+AP23</f>
        <v>6</v>
      </c>
      <c r="CI23" s="1">
        <f>(AQ23*0.4)+AQ23</f>
        <v>10.5</v>
      </c>
      <c r="CJ23" s="1">
        <f>(AR23*0.6)+AR23</f>
        <v>3.6799999999999997</v>
      </c>
      <c r="CK23" s="1">
        <f>(AS23*0.75)+AS23</f>
        <v>13.825000000000001</v>
      </c>
    </row>
    <row r="24" spans="1:89" x14ac:dyDescent="0.2">
      <c r="AT24" s="3" t="s">
        <v>14</v>
      </c>
      <c r="AU24" s="1">
        <f t="shared" ref="AU24:CK24" si="40">SUM(AU2:AU23)</f>
        <v>99.6</v>
      </c>
      <c r="AV24" s="1">
        <f t="shared" si="40"/>
        <v>114.19499999999999</v>
      </c>
      <c r="AW24" s="1">
        <f t="shared" si="40"/>
        <v>0</v>
      </c>
      <c r="AX24" s="1">
        <f t="shared" si="40"/>
        <v>128.62</v>
      </c>
      <c r="AY24" s="1">
        <f t="shared" si="40"/>
        <v>135.16999999999999</v>
      </c>
      <c r="AZ24" s="1">
        <f t="shared" si="40"/>
        <v>137.04</v>
      </c>
      <c r="BA24" s="1">
        <f t="shared" si="40"/>
        <v>137.54000000000002</v>
      </c>
      <c r="BB24" s="1">
        <f t="shared" si="40"/>
        <v>158.6</v>
      </c>
      <c r="BC24" s="1">
        <f t="shared" si="40"/>
        <v>169.03000000000003</v>
      </c>
      <c r="BD24" s="1">
        <f t="shared" si="40"/>
        <v>185.67499999999998</v>
      </c>
      <c r="BE24" s="1">
        <f t="shared" si="40"/>
        <v>198.61</v>
      </c>
      <c r="BF24" s="1">
        <f t="shared" si="40"/>
        <v>207.80499999999995</v>
      </c>
      <c r="BG24" s="1">
        <f t="shared" si="40"/>
        <v>221.24</v>
      </c>
      <c r="BH24" s="1">
        <f t="shared" si="40"/>
        <v>244.785</v>
      </c>
      <c r="BI24" s="1">
        <f t="shared" si="40"/>
        <v>255.02499999999998</v>
      </c>
      <c r="BJ24" s="1">
        <f t="shared" si="40"/>
        <v>263.52999999999997</v>
      </c>
      <c r="BK24" s="1">
        <f t="shared" si="40"/>
        <v>283.94000000000005</v>
      </c>
      <c r="BL24" s="1">
        <f t="shared" si="40"/>
        <v>299.18</v>
      </c>
      <c r="BM24" s="1">
        <f t="shared" si="40"/>
        <v>296.2999999999999</v>
      </c>
      <c r="BN24" s="1">
        <f t="shared" si="40"/>
        <v>316.815</v>
      </c>
      <c r="BO24" s="1">
        <f t="shared" si="40"/>
        <v>317.00500000000005</v>
      </c>
      <c r="BP24" s="1">
        <f t="shared" si="40"/>
        <v>337.32499999999993</v>
      </c>
      <c r="BQ24" s="1">
        <f t="shared" si="40"/>
        <v>331.44000000000005</v>
      </c>
      <c r="BR24" s="1">
        <f t="shared" si="40"/>
        <v>352.87500000000006</v>
      </c>
      <c r="BS24" s="1">
        <f t="shared" si="40"/>
        <v>361.72500000000002</v>
      </c>
      <c r="BT24" s="1">
        <f t="shared" si="40"/>
        <v>301.28499999999997</v>
      </c>
      <c r="BU24" s="1">
        <f t="shared" si="40"/>
        <v>334.91499999999996</v>
      </c>
      <c r="BV24" s="1">
        <f t="shared" si="40"/>
        <v>329.42500000000001</v>
      </c>
      <c r="BW24" s="1">
        <f t="shared" si="40"/>
        <v>357.31000000000006</v>
      </c>
      <c r="BX24" s="1">
        <f t="shared" si="40"/>
        <v>349.48499999999996</v>
      </c>
      <c r="BY24" s="1">
        <f t="shared" si="40"/>
        <v>388.125</v>
      </c>
      <c r="BZ24" s="1">
        <f t="shared" si="40"/>
        <v>379.3300000000001</v>
      </c>
      <c r="CA24" s="1">
        <f t="shared" si="40"/>
        <v>381.72499999999997</v>
      </c>
      <c r="CB24" s="1">
        <f t="shared" si="40"/>
        <v>407.46</v>
      </c>
      <c r="CC24" s="1">
        <f t="shared" si="40"/>
        <v>443.37500000000006</v>
      </c>
      <c r="CD24" s="1">
        <f t="shared" si="40"/>
        <v>443.19</v>
      </c>
      <c r="CE24" s="1">
        <f t="shared" si="40"/>
        <v>458.7</v>
      </c>
      <c r="CF24" s="1">
        <f t="shared" si="40"/>
        <v>473.7</v>
      </c>
      <c r="CG24" s="1">
        <f t="shared" si="40"/>
        <v>462.05500000000001</v>
      </c>
      <c r="CH24" s="1">
        <f t="shared" si="40"/>
        <v>471.82499999999999</v>
      </c>
      <c r="CI24" s="1">
        <f t="shared" si="40"/>
        <v>425.08500000000004</v>
      </c>
      <c r="CJ24" s="1">
        <f t="shared" si="40"/>
        <v>494</v>
      </c>
      <c r="CK24" s="1">
        <f t="shared" si="40"/>
        <v>423.18</v>
      </c>
    </row>
    <row r="25" spans="1:89" ht="16" x14ac:dyDescent="0.2">
      <c r="A25" s="16"/>
      <c r="B25" s="16"/>
      <c r="C25" s="16"/>
      <c r="CJ25" s="1"/>
      <c r="CK25" s="1"/>
    </row>
    <row r="26" spans="1:89" ht="16" x14ac:dyDescent="0.2">
      <c r="A26" s="16"/>
      <c r="B26" s="16"/>
      <c r="C26" s="16"/>
      <c r="AU26" s="1">
        <v>100</v>
      </c>
      <c r="AV26" s="1">
        <v>115</v>
      </c>
      <c r="AW26" s="1"/>
      <c r="AX26" s="1">
        <v>140</v>
      </c>
      <c r="AY26" s="1">
        <v>150</v>
      </c>
      <c r="AZ26" s="1">
        <v>150</v>
      </c>
      <c r="BA26" s="1">
        <v>150</v>
      </c>
      <c r="BB26" s="1">
        <v>170</v>
      </c>
      <c r="BC26" s="1">
        <v>180</v>
      </c>
      <c r="BD26" s="1">
        <v>195</v>
      </c>
      <c r="BE26" s="1">
        <v>210</v>
      </c>
      <c r="BF26" s="1">
        <v>225</v>
      </c>
      <c r="BG26" s="1">
        <v>245</v>
      </c>
      <c r="BH26" s="1">
        <v>265</v>
      </c>
      <c r="BI26" s="1">
        <v>275</v>
      </c>
      <c r="BJ26" s="1">
        <v>285</v>
      </c>
      <c r="BK26" s="1">
        <v>300</v>
      </c>
      <c r="BL26" s="1">
        <v>315</v>
      </c>
      <c r="BM26" s="1">
        <v>315</v>
      </c>
      <c r="BN26" s="1">
        <v>335</v>
      </c>
      <c r="BO26" s="1">
        <v>350</v>
      </c>
      <c r="BP26" s="1">
        <v>370</v>
      </c>
      <c r="BQ26" s="1">
        <v>380</v>
      </c>
      <c r="BR26" s="1">
        <v>390</v>
      </c>
      <c r="BS26" s="1">
        <v>405</v>
      </c>
      <c r="BT26" s="1">
        <v>415</v>
      </c>
      <c r="BU26" s="1">
        <v>425</v>
      </c>
      <c r="BV26" s="1">
        <v>435</v>
      </c>
      <c r="BW26" s="1">
        <v>445</v>
      </c>
      <c r="BX26" s="1">
        <v>455</v>
      </c>
      <c r="BY26" s="1">
        <v>470</v>
      </c>
      <c r="BZ26" s="1">
        <v>485</v>
      </c>
      <c r="CA26" s="1">
        <v>490</v>
      </c>
      <c r="CB26" s="1">
        <v>500</v>
      </c>
      <c r="CC26" s="1">
        <v>520</v>
      </c>
      <c r="CD26" s="1">
        <v>540</v>
      </c>
      <c r="CE26" s="1">
        <v>555</v>
      </c>
      <c r="CF26" s="1">
        <v>575</v>
      </c>
      <c r="CG26" s="1">
        <v>585</v>
      </c>
      <c r="CH26" s="1">
        <v>605</v>
      </c>
      <c r="CI26" s="1">
        <v>625</v>
      </c>
      <c r="CJ26" s="1">
        <v>645</v>
      </c>
      <c r="CK26" s="1">
        <v>660</v>
      </c>
    </row>
    <row r="27" spans="1:89" ht="16" x14ac:dyDescent="0.2">
      <c r="A27" s="16"/>
      <c r="B27" s="16"/>
      <c r="C27" s="16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16" x14ac:dyDescent="0.2">
      <c r="A28" s="16"/>
      <c r="B28" s="16"/>
      <c r="C28" s="16"/>
      <c r="G28" s="1"/>
      <c r="AU28" s="1">
        <f>AU24</f>
        <v>99.6</v>
      </c>
      <c r="AV28" s="1">
        <f t="shared" ref="AV28:CK28" si="41">SUM(AU28+AV24)</f>
        <v>213.79499999999999</v>
      </c>
      <c r="AW28" s="1">
        <f t="shared" si="41"/>
        <v>213.79499999999999</v>
      </c>
      <c r="AX28" s="1">
        <f t="shared" si="41"/>
        <v>342.41499999999996</v>
      </c>
      <c r="AY28" s="1">
        <f t="shared" si="41"/>
        <v>477.58499999999992</v>
      </c>
      <c r="AZ28" s="1">
        <f t="shared" si="41"/>
        <v>614.62499999999989</v>
      </c>
      <c r="BA28" s="1">
        <f t="shared" si="41"/>
        <v>752.16499999999996</v>
      </c>
      <c r="BB28" s="1">
        <f t="shared" si="41"/>
        <v>910.76499999999999</v>
      </c>
      <c r="BC28" s="1">
        <f t="shared" si="41"/>
        <v>1079.7950000000001</v>
      </c>
      <c r="BD28" s="1">
        <f t="shared" si="41"/>
        <v>1265.47</v>
      </c>
      <c r="BE28" s="1">
        <f t="shared" si="41"/>
        <v>1464.08</v>
      </c>
      <c r="BF28" s="1">
        <f t="shared" si="41"/>
        <v>1671.8849999999998</v>
      </c>
      <c r="BG28" s="1">
        <f t="shared" si="41"/>
        <v>1893.1249999999998</v>
      </c>
      <c r="BH28" s="1">
        <f t="shared" si="41"/>
        <v>2137.91</v>
      </c>
      <c r="BI28" s="1">
        <f t="shared" si="41"/>
        <v>2392.9349999999999</v>
      </c>
      <c r="BJ28" s="1">
        <f t="shared" si="41"/>
        <v>2656.4650000000001</v>
      </c>
      <c r="BK28" s="1">
        <f t="shared" si="41"/>
        <v>2940.4050000000002</v>
      </c>
      <c r="BL28" s="1">
        <f t="shared" si="41"/>
        <v>3239.585</v>
      </c>
      <c r="BM28" s="1">
        <f t="shared" si="41"/>
        <v>3535.8849999999998</v>
      </c>
      <c r="BN28" s="1">
        <f t="shared" si="41"/>
        <v>3852.7</v>
      </c>
      <c r="BO28" s="1">
        <f t="shared" si="41"/>
        <v>4169.7049999999999</v>
      </c>
      <c r="BP28" s="1">
        <f t="shared" si="41"/>
        <v>4507.03</v>
      </c>
      <c r="BQ28" s="1">
        <f t="shared" si="41"/>
        <v>4838.4699999999993</v>
      </c>
      <c r="BR28" s="1">
        <f t="shared" si="41"/>
        <v>5191.3449999999993</v>
      </c>
      <c r="BS28" s="1">
        <f t="shared" si="41"/>
        <v>5553.07</v>
      </c>
      <c r="BT28" s="1">
        <f t="shared" si="41"/>
        <v>5854.3549999999996</v>
      </c>
      <c r="BU28" s="1">
        <f t="shared" si="41"/>
        <v>6189.2699999999995</v>
      </c>
      <c r="BV28" s="1">
        <f t="shared" si="41"/>
        <v>6518.6949999999997</v>
      </c>
      <c r="BW28" s="1">
        <f t="shared" si="41"/>
        <v>6876.0050000000001</v>
      </c>
      <c r="BX28" s="1">
        <f t="shared" si="41"/>
        <v>7225.49</v>
      </c>
      <c r="BY28" s="1">
        <f t="shared" si="41"/>
        <v>7613.6149999999998</v>
      </c>
      <c r="BZ28" s="1">
        <f t="shared" si="41"/>
        <v>7992.9449999999997</v>
      </c>
      <c r="CA28" s="1">
        <f t="shared" si="41"/>
        <v>8374.67</v>
      </c>
      <c r="CB28" s="1">
        <f t="shared" si="41"/>
        <v>8782.1299999999992</v>
      </c>
      <c r="CC28" s="1">
        <f t="shared" si="41"/>
        <v>9225.5049999999992</v>
      </c>
      <c r="CD28" s="1">
        <f t="shared" si="41"/>
        <v>9668.6949999999997</v>
      </c>
      <c r="CE28" s="1">
        <f t="shared" si="41"/>
        <v>10127.395</v>
      </c>
      <c r="CF28" s="1">
        <f t="shared" si="41"/>
        <v>10601.095000000001</v>
      </c>
      <c r="CG28" s="1">
        <f t="shared" si="41"/>
        <v>11063.150000000001</v>
      </c>
      <c r="CH28" s="1">
        <f t="shared" si="41"/>
        <v>11534.975000000002</v>
      </c>
      <c r="CI28" s="1">
        <f t="shared" si="41"/>
        <v>11960.060000000001</v>
      </c>
      <c r="CJ28" s="1">
        <f t="shared" si="41"/>
        <v>12454.060000000001</v>
      </c>
      <c r="CK28" s="1">
        <f t="shared" si="41"/>
        <v>12877.240000000002</v>
      </c>
    </row>
    <row r="29" spans="1:89" ht="16" x14ac:dyDescent="0.2">
      <c r="A29" s="16"/>
      <c r="B29" s="16"/>
      <c r="C29" s="16"/>
      <c r="D29" s="3"/>
      <c r="E29" s="3"/>
      <c r="F29" s="3"/>
      <c r="G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U29" s="3"/>
      <c r="AV29" s="3"/>
      <c r="AW29" s="3"/>
      <c r="AX29" s="3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</row>
    <row r="30" spans="1:89" ht="16" x14ac:dyDescent="0.2">
      <c r="A30" s="16"/>
      <c r="B30" s="16"/>
      <c r="C30" s="16"/>
      <c r="G30" s="1"/>
      <c r="AU30" s="1">
        <v>100</v>
      </c>
      <c r="AV30" s="1">
        <f>SUM(AU30+AV26)</f>
        <v>215</v>
      </c>
      <c r="AW30" s="1">
        <f>SUM(AV30+AW26)</f>
        <v>215</v>
      </c>
      <c r="AX30" s="1">
        <f>SUM(AW30+AX26)</f>
        <v>355</v>
      </c>
      <c r="AY30" s="1">
        <f t="shared" ref="AY30:CK30" si="42">SUM(AX30+AY26)</f>
        <v>505</v>
      </c>
      <c r="AZ30" s="1">
        <f t="shared" si="42"/>
        <v>655</v>
      </c>
      <c r="BA30" s="1">
        <f t="shared" si="42"/>
        <v>805</v>
      </c>
      <c r="BB30" s="1">
        <f t="shared" si="42"/>
        <v>975</v>
      </c>
      <c r="BC30" s="1">
        <f t="shared" si="42"/>
        <v>1155</v>
      </c>
      <c r="BD30" s="1">
        <f t="shared" si="42"/>
        <v>1350</v>
      </c>
      <c r="BE30" s="1">
        <f t="shared" si="42"/>
        <v>1560</v>
      </c>
      <c r="BF30" s="1">
        <f t="shared" si="42"/>
        <v>1785</v>
      </c>
      <c r="BG30" s="1">
        <f t="shared" si="42"/>
        <v>2030</v>
      </c>
      <c r="BH30" s="1">
        <f t="shared" si="42"/>
        <v>2295</v>
      </c>
      <c r="BI30" s="1">
        <f t="shared" si="42"/>
        <v>2570</v>
      </c>
      <c r="BJ30" s="1">
        <f t="shared" si="42"/>
        <v>2855</v>
      </c>
      <c r="BK30" s="1">
        <f t="shared" si="42"/>
        <v>3155</v>
      </c>
      <c r="BL30" s="1">
        <f t="shared" si="42"/>
        <v>3470</v>
      </c>
      <c r="BM30" s="1">
        <f t="shared" si="42"/>
        <v>3785</v>
      </c>
      <c r="BN30" s="1">
        <f t="shared" si="42"/>
        <v>4120</v>
      </c>
      <c r="BO30" s="1">
        <f t="shared" si="42"/>
        <v>4470</v>
      </c>
      <c r="BP30" s="1">
        <f t="shared" si="42"/>
        <v>4840</v>
      </c>
      <c r="BQ30" s="1">
        <f t="shared" si="42"/>
        <v>5220</v>
      </c>
      <c r="BR30" s="1">
        <f t="shared" si="42"/>
        <v>5610</v>
      </c>
      <c r="BS30" s="1">
        <f t="shared" si="42"/>
        <v>6015</v>
      </c>
      <c r="BT30" s="1">
        <f t="shared" si="42"/>
        <v>6430</v>
      </c>
      <c r="BU30" s="1">
        <f t="shared" si="42"/>
        <v>6855</v>
      </c>
      <c r="BV30" s="1">
        <f t="shared" si="42"/>
        <v>7290</v>
      </c>
      <c r="BW30" s="1">
        <f t="shared" si="42"/>
        <v>7735</v>
      </c>
      <c r="BX30" s="1">
        <f t="shared" si="42"/>
        <v>8190</v>
      </c>
      <c r="BY30" s="1">
        <f t="shared" si="42"/>
        <v>8660</v>
      </c>
      <c r="BZ30" s="1">
        <f t="shared" si="42"/>
        <v>9145</v>
      </c>
      <c r="CA30" s="1">
        <f t="shared" si="42"/>
        <v>9635</v>
      </c>
      <c r="CB30" s="1">
        <f t="shared" si="42"/>
        <v>10135</v>
      </c>
      <c r="CC30" s="1">
        <f t="shared" si="42"/>
        <v>10655</v>
      </c>
      <c r="CD30" s="1">
        <f t="shared" si="42"/>
        <v>11195</v>
      </c>
      <c r="CE30" s="1">
        <f t="shared" si="42"/>
        <v>11750</v>
      </c>
      <c r="CF30" s="1">
        <f t="shared" si="42"/>
        <v>12325</v>
      </c>
      <c r="CG30" s="1">
        <f t="shared" si="42"/>
        <v>12910</v>
      </c>
      <c r="CH30" s="1">
        <f t="shared" si="42"/>
        <v>13515</v>
      </c>
      <c r="CI30" s="1">
        <f t="shared" si="42"/>
        <v>14140</v>
      </c>
      <c r="CJ30" s="1">
        <f t="shared" si="42"/>
        <v>14785</v>
      </c>
      <c r="CK30" s="1">
        <f t="shared" si="42"/>
        <v>15445</v>
      </c>
    </row>
    <row r="31" spans="1:89" ht="16" x14ac:dyDescent="0.2">
      <c r="A31" s="16"/>
      <c r="B31" s="16"/>
      <c r="C31" s="16"/>
      <c r="G31" s="1"/>
    </row>
    <row r="32" spans="1:89" ht="16" x14ac:dyDescent="0.2">
      <c r="A32" s="16"/>
      <c r="B32" s="16"/>
      <c r="C32" s="16"/>
      <c r="D32" s="16"/>
      <c r="G32" s="1"/>
      <c r="AU32" s="4" t="s">
        <v>1563</v>
      </c>
      <c r="AV32" s="4" t="s">
        <v>1563</v>
      </c>
      <c r="AW32" s="4" t="s">
        <v>1563</v>
      </c>
      <c r="AX32" s="4" t="s">
        <v>1563</v>
      </c>
      <c r="AY32" s="4" t="s">
        <v>1563</v>
      </c>
      <c r="AZ32" s="4" t="s">
        <v>1563</v>
      </c>
      <c r="BA32" s="4" t="s">
        <v>1563</v>
      </c>
      <c r="BB32" s="4" t="s">
        <v>1563</v>
      </c>
      <c r="BC32" s="4" t="s">
        <v>1563</v>
      </c>
      <c r="BD32" s="4" t="s">
        <v>1563</v>
      </c>
      <c r="BE32" s="4" t="s">
        <v>1563</v>
      </c>
      <c r="BF32" s="4" t="s">
        <v>1563</v>
      </c>
      <c r="BG32" s="4" t="s">
        <v>1563</v>
      </c>
      <c r="BH32" s="4" t="s">
        <v>1563</v>
      </c>
      <c r="BI32" s="4" t="s">
        <v>1563</v>
      </c>
      <c r="BJ32" s="4" t="s">
        <v>1563</v>
      </c>
      <c r="BK32" s="4" t="s">
        <v>1563</v>
      </c>
      <c r="BL32" s="4" t="s">
        <v>1563</v>
      </c>
      <c r="BM32" s="4" t="s">
        <v>1563</v>
      </c>
      <c r="BN32" s="4" t="s">
        <v>1563</v>
      </c>
      <c r="BO32" s="4" t="s">
        <v>1563</v>
      </c>
      <c r="BP32" s="4" t="s">
        <v>1563</v>
      </c>
      <c r="BQ32" s="4" t="s">
        <v>1563</v>
      </c>
      <c r="BR32" s="4" t="s">
        <v>1563</v>
      </c>
      <c r="BS32" s="4" t="s">
        <v>1563</v>
      </c>
      <c r="BT32" s="4" t="s">
        <v>1563</v>
      </c>
      <c r="BU32" s="4" t="s">
        <v>1563</v>
      </c>
      <c r="BV32" s="4" t="s">
        <v>1563</v>
      </c>
      <c r="BW32" s="4" t="s">
        <v>1563</v>
      </c>
      <c r="BX32" s="4" t="s">
        <v>1563</v>
      </c>
      <c r="BY32" s="4" t="s">
        <v>1563</v>
      </c>
      <c r="BZ32" s="4" t="s">
        <v>1563</v>
      </c>
      <c r="CA32" s="4" t="s">
        <v>1563</v>
      </c>
      <c r="CB32" s="4" t="s">
        <v>1563</v>
      </c>
      <c r="CC32" s="4" t="s">
        <v>1563</v>
      </c>
      <c r="CD32" s="4" t="s">
        <v>1563</v>
      </c>
      <c r="CE32" s="4" t="s">
        <v>1563</v>
      </c>
      <c r="CF32" s="4" t="s">
        <v>1563</v>
      </c>
      <c r="CG32" s="4" t="s">
        <v>1563</v>
      </c>
      <c r="CH32" s="4" t="s">
        <v>1563</v>
      </c>
      <c r="CI32" s="4" t="s">
        <v>1563</v>
      </c>
      <c r="CJ32" s="4" t="s">
        <v>1563</v>
      </c>
      <c r="CK32" s="4" t="s">
        <v>1563</v>
      </c>
    </row>
    <row r="33" spans="1:89" ht="16" x14ac:dyDescent="0.2">
      <c r="A33" s="16"/>
      <c r="B33" s="16"/>
      <c r="C33" s="16"/>
      <c r="D33" s="16"/>
      <c r="G33" s="1"/>
      <c r="AU33" s="6">
        <f>(AU28/AU30)*100</f>
        <v>99.6</v>
      </c>
      <c r="AV33" s="6">
        <f>(AV28/AV30)*100</f>
        <v>99.439534883720924</v>
      </c>
      <c r="AW33" s="6"/>
      <c r="AX33" s="6">
        <f>(AX28/AX30)*100</f>
        <v>96.454929577464782</v>
      </c>
      <c r="AY33" s="6">
        <f t="shared" ref="AY33:CI33" si="43">(AY28/AY30)*100</f>
        <v>94.571287128712854</v>
      </c>
      <c r="AZ33" s="6">
        <f t="shared" si="43"/>
        <v>93.83587786259541</v>
      </c>
      <c r="BA33" s="6">
        <f t="shared" si="43"/>
        <v>93.436645962732911</v>
      </c>
      <c r="BB33" s="6">
        <f t="shared" si="43"/>
        <v>93.411794871794868</v>
      </c>
      <c r="BC33" s="6">
        <f t="shared" si="43"/>
        <v>93.488744588744595</v>
      </c>
      <c r="BD33" s="6">
        <f t="shared" si="43"/>
        <v>93.738518518518518</v>
      </c>
      <c r="BE33" s="6">
        <f t="shared" si="43"/>
        <v>93.851282051282041</v>
      </c>
      <c r="BF33" s="6">
        <f t="shared" si="43"/>
        <v>93.663025210084015</v>
      </c>
      <c r="BG33" s="6">
        <f t="shared" si="43"/>
        <v>93.257389162561566</v>
      </c>
      <c r="BH33" s="6">
        <f t="shared" si="43"/>
        <v>93.155119825708056</v>
      </c>
      <c r="BI33" s="6">
        <f t="shared" si="43"/>
        <v>93.110311284046688</v>
      </c>
      <c r="BJ33" s="6">
        <f t="shared" si="43"/>
        <v>93.046059544658505</v>
      </c>
      <c r="BK33" s="6">
        <f t="shared" si="43"/>
        <v>93.198256735340735</v>
      </c>
      <c r="BL33" s="6">
        <f t="shared" si="43"/>
        <v>93.359798270893364</v>
      </c>
      <c r="BM33" s="6">
        <f t="shared" si="43"/>
        <v>93.418361955085857</v>
      </c>
      <c r="BN33" s="6">
        <f t="shared" si="43"/>
        <v>93.512135922330103</v>
      </c>
      <c r="BO33" s="6">
        <f t="shared" si="43"/>
        <v>93.281991051454142</v>
      </c>
      <c r="BP33" s="6">
        <f t="shared" si="43"/>
        <v>93.12045454545455</v>
      </c>
      <c r="BQ33" s="6">
        <f t="shared" si="43"/>
        <v>92.690996168582359</v>
      </c>
      <c r="BR33" s="6">
        <f t="shared" si="43"/>
        <v>92.537344028520479</v>
      </c>
      <c r="BS33" s="6">
        <f t="shared" si="43"/>
        <v>92.320365752285952</v>
      </c>
      <c r="BT33" s="6">
        <f t="shared" si="43"/>
        <v>91.047511664074648</v>
      </c>
      <c r="BU33" s="6">
        <f t="shared" si="43"/>
        <v>90.288402625820567</v>
      </c>
      <c r="BV33" s="6">
        <f t="shared" si="43"/>
        <v>89.419684499314116</v>
      </c>
      <c r="BW33" s="6">
        <f t="shared" si="43"/>
        <v>88.894699418228825</v>
      </c>
      <c r="BX33" s="6">
        <f t="shared" si="43"/>
        <v>88.223321123321114</v>
      </c>
      <c r="BY33" s="6">
        <f t="shared" si="43"/>
        <v>87.917032332563508</v>
      </c>
      <c r="BZ33" s="6">
        <f t="shared" si="43"/>
        <v>87.402351011481684</v>
      </c>
      <c r="CA33" s="6">
        <f t="shared" si="43"/>
        <v>86.919252724442146</v>
      </c>
      <c r="CB33" s="6">
        <f t="shared" si="43"/>
        <v>86.651504686729155</v>
      </c>
      <c r="CC33" s="6">
        <f t="shared" si="43"/>
        <v>86.583810417644287</v>
      </c>
      <c r="CD33" s="6">
        <f t="shared" si="43"/>
        <v>86.366190263510489</v>
      </c>
      <c r="CE33" s="6">
        <f t="shared" si="43"/>
        <v>86.190595744680849</v>
      </c>
      <c r="CF33" s="6">
        <f t="shared" si="43"/>
        <v>86.012941176470605</v>
      </c>
      <c r="CG33" s="6">
        <f t="shared" si="43"/>
        <v>85.694422927962833</v>
      </c>
      <c r="CH33" s="6">
        <f t="shared" si="43"/>
        <v>85.349426563078083</v>
      </c>
      <c r="CI33" s="6">
        <f t="shared" si="43"/>
        <v>84.583168316831689</v>
      </c>
      <c r="CJ33" s="6">
        <f>(CJ28/CJ30)*100</f>
        <v>84.23442678390262</v>
      </c>
      <c r="CK33" s="6">
        <f>(CK28/CK30)*100</f>
        <v>83.374813855616708</v>
      </c>
    </row>
    <row r="34" spans="1:89" ht="16" x14ac:dyDescent="0.2">
      <c r="A34" s="24"/>
      <c r="B34" s="24"/>
      <c r="C34" s="16"/>
      <c r="D34" s="16"/>
      <c r="G34" s="1"/>
    </row>
    <row r="35" spans="1:89" ht="16" x14ac:dyDescent="0.2">
      <c r="A35" s="16"/>
      <c r="B35" s="16"/>
      <c r="C35" s="16"/>
      <c r="D35" s="16"/>
      <c r="G35" s="1"/>
    </row>
    <row r="36" spans="1:89" ht="16" x14ac:dyDescent="0.2">
      <c r="A36" s="16"/>
      <c r="B36" s="16"/>
      <c r="C36" s="16"/>
      <c r="D36" s="16"/>
      <c r="G36" s="1"/>
    </row>
    <row r="37" spans="1:89" ht="16" x14ac:dyDescent="0.2">
      <c r="A37" s="16"/>
      <c r="B37" s="16"/>
      <c r="C37" s="16"/>
      <c r="D37" s="16"/>
      <c r="G37" s="1"/>
    </row>
    <row r="38" spans="1:89" ht="16" x14ac:dyDescent="0.2">
      <c r="A38" s="16"/>
      <c r="B38" s="16"/>
      <c r="C38" s="16"/>
      <c r="D38" s="16"/>
    </row>
    <row r="39" spans="1:89" ht="16" x14ac:dyDescent="0.2">
      <c r="A39" s="16"/>
      <c r="B39" s="16"/>
      <c r="C39" s="16"/>
      <c r="D39" s="16"/>
    </row>
    <row r="40" spans="1:89" ht="16" x14ac:dyDescent="0.2">
      <c r="A40" s="16"/>
      <c r="B40" s="16"/>
      <c r="C40" s="16"/>
      <c r="D40" s="16"/>
    </row>
    <row r="41" spans="1:89" ht="16" x14ac:dyDescent="0.2">
      <c r="A41" s="16"/>
      <c r="B41" s="16"/>
      <c r="C41" s="16"/>
      <c r="D41" s="16"/>
    </row>
    <row r="42" spans="1:89" ht="16" x14ac:dyDescent="0.2">
      <c r="A42" s="16"/>
      <c r="B42" s="16"/>
      <c r="C42" s="16"/>
      <c r="D42" s="16"/>
    </row>
    <row r="43" spans="1:89" ht="16" x14ac:dyDescent="0.2">
      <c r="A43" s="16"/>
      <c r="B43" s="16"/>
      <c r="C43" s="16"/>
      <c r="D43" s="16"/>
    </row>
  </sheetData>
  <pageMargins left="0.7" right="0.7" top="0.75" bottom="0.75" header="0.3" footer="0.3"/>
  <pageSetup paperSize="9" orientation="portrait" horizontalDpi="4294967292" verticalDpi="4294967292"/>
  <ignoredErrors>
    <ignoredError sqref="BK6 BY13" formula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0"/>
  <sheetViews>
    <sheetView workbookViewId="0">
      <selection activeCell="J23" sqref="J23:N23"/>
    </sheetView>
  </sheetViews>
  <sheetFormatPr baseColWidth="10" defaultRowHeight="15" x14ac:dyDescent="0.2"/>
  <cols>
    <col min="2" max="2" width="38.5" customWidth="1"/>
    <col min="14" max="14" width="11.83203125" bestFit="1" customWidth="1"/>
  </cols>
  <sheetData>
    <row r="1" spans="1:16" ht="16" x14ac:dyDescent="0.2">
      <c r="A1" s="3" t="s">
        <v>15</v>
      </c>
      <c r="B1" s="24" t="s">
        <v>681</v>
      </c>
      <c r="C1" s="3">
        <v>1920</v>
      </c>
      <c r="D1" s="3">
        <v>1923</v>
      </c>
      <c r="E1" s="3">
        <v>1926</v>
      </c>
      <c r="F1" s="3">
        <v>1929</v>
      </c>
      <c r="G1" s="3">
        <v>1932</v>
      </c>
      <c r="J1" s="3">
        <v>1920</v>
      </c>
      <c r="K1" s="3">
        <v>1923</v>
      </c>
      <c r="L1" s="3">
        <v>1926</v>
      </c>
      <c r="M1" s="3">
        <v>1929</v>
      </c>
      <c r="N1" s="3">
        <v>1932</v>
      </c>
    </row>
    <row r="2" spans="1:16" ht="16" x14ac:dyDescent="0.2">
      <c r="A2" s="8" t="s">
        <v>211</v>
      </c>
      <c r="B2" s="16" t="s">
        <v>1183</v>
      </c>
      <c r="C2" s="1">
        <v>21</v>
      </c>
      <c r="D2" s="1">
        <v>11.2</v>
      </c>
      <c r="E2" s="1">
        <v>12.4</v>
      </c>
      <c r="F2" s="1">
        <v>10.199999999999999</v>
      </c>
      <c r="G2" s="1"/>
      <c r="J2" s="1">
        <v>21</v>
      </c>
      <c r="K2" s="1">
        <f>(D2*0.15)+D2</f>
        <v>12.879999999999999</v>
      </c>
      <c r="L2" s="1">
        <f>(E2*0.3)+E2</f>
        <v>16.12</v>
      </c>
      <c r="M2" s="1">
        <f>(F2*0.45)+F2</f>
        <v>14.79</v>
      </c>
      <c r="N2" s="1"/>
    </row>
    <row r="3" spans="1:16" ht="16" x14ac:dyDescent="0.2">
      <c r="A3" s="8" t="s">
        <v>212</v>
      </c>
      <c r="B3" s="16" t="s">
        <v>1184</v>
      </c>
      <c r="C3" s="1">
        <v>20.8</v>
      </c>
      <c r="D3" s="1">
        <v>21.6</v>
      </c>
      <c r="E3" s="1">
        <v>21.4</v>
      </c>
      <c r="F3" s="1">
        <v>23.1</v>
      </c>
      <c r="G3" s="1"/>
      <c r="J3" s="1">
        <v>20.8</v>
      </c>
      <c r="K3" s="1">
        <f t="shared" ref="K3:K9" si="0">(D3*0.15)+D3</f>
        <v>24.840000000000003</v>
      </c>
      <c r="L3" s="1">
        <f t="shared" ref="L3:L8" si="1">(E3*0.3)+E3</f>
        <v>27.819999999999997</v>
      </c>
      <c r="M3" s="1">
        <f t="shared" ref="M3:M8" si="2">(F3*0.45)+F3</f>
        <v>33.495000000000005</v>
      </c>
      <c r="N3" s="1"/>
    </row>
    <row r="4" spans="1:16" ht="16" x14ac:dyDescent="0.2">
      <c r="A4" s="8" t="s">
        <v>126</v>
      </c>
      <c r="B4" s="16" t="s">
        <v>1185</v>
      </c>
      <c r="C4" s="1">
        <v>10.4</v>
      </c>
      <c r="D4" s="1">
        <v>7.5</v>
      </c>
      <c r="E4" s="1">
        <v>7.4</v>
      </c>
      <c r="F4" s="1">
        <v>8.9</v>
      </c>
      <c r="G4" s="1"/>
      <c r="J4" s="1">
        <v>10.4</v>
      </c>
      <c r="K4" s="1">
        <f t="shared" si="0"/>
        <v>8.625</v>
      </c>
      <c r="L4" s="1">
        <f t="shared" si="1"/>
        <v>9.620000000000001</v>
      </c>
      <c r="M4" s="1">
        <f t="shared" si="2"/>
        <v>12.905000000000001</v>
      </c>
      <c r="N4" s="1"/>
    </row>
    <row r="5" spans="1:16" ht="16" x14ac:dyDescent="0.2">
      <c r="A5" s="8" t="s">
        <v>214</v>
      </c>
      <c r="B5" s="16" t="s">
        <v>675</v>
      </c>
      <c r="C5" s="1">
        <v>7.5</v>
      </c>
      <c r="D5" s="1">
        <v>7.3</v>
      </c>
      <c r="E5" s="1">
        <v>5.4</v>
      </c>
      <c r="F5" s="1">
        <v>4.0999999999999996</v>
      </c>
      <c r="G5" s="1"/>
      <c r="J5" s="1">
        <v>7.5</v>
      </c>
      <c r="K5" s="1">
        <f t="shared" si="0"/>
        <v>8.3949999999999996</v>
      </c>
      <c r="L5" s="1">
        <f t="shared" si="1"/>
        <v>7.0200000000000005</v>
      </c>
      <c r="M5" s="1">
        <f t="shared" si="2"/>
        <v>5.9449999999999994</v>
      </c>
      <c r="N5" s="1"/>
    </row>
    <row r="6" spans="1:16" ht="16" x14ac:dyDescent="0.2">
      <c r="A6" s="12" t="s">
        <v>1182</v>
      </c>
      <c r="B6" s="16" t="s">
        <v>1186</v>
      </c>
      <c r="C6" s="1">
        <v>5.3</v>
      </c>
      <c r="D6" s="1">
        <v>9.5</v>
      </c>
      <c r="E6" s="1">
        <v>5.8</v>
      </c>
      <c r="F6" s="1">
        <v>6.2</v>
      </c>
      <c r="G6" s="1">
        <v>5.2</v>
      </c>
      <c r="J6" s="1">
        <v>5.3</v>
      </c>
      <c r="K6" s="1">
        <f t="shared" si="0"/>
        <v>10.925000000000001</v>
      </c>
      <c r="L6" s="1">
        <f t="shared" si="1"/>
        <v>7.54</v>
      </c>
      <c r="M6" s="1">
        <f t="shared" si="2"/>
        <v>8.99</v>
      </c>
      <c r="N6" s="1">
        <f>(G6*0.6)+G6</f>
        <v>8.32</v>
      </c>
    </row>
    <row r="7" spans="1:16" ht="16" x14ac:dyDescent="0.2">
      <c r="A7" s="8" t="s">
        <v>215</v>
      </c>
      <c r="B7" s="16" t="s">
        <v>1187</v>
      </c>
      <c r="C7" s="1">
        <v>3.9</v>
      </c>
      <c r="D7" s="1">
        <v>3.5</v>
      </c>
      <c r="E7" s="1">
        <v>2.5</v>
      </c>
      <c r="F7" s="1">
        <v>3.2</v>
      </c>
      <c r="G7" s="1">
        <v>1.9</v>
      </c>
      <c r="J7" s="1">
        <v>3.9</v>
      </c>
      <c r="K7" s="1">
        <f t="shared" si="0"/>
        <v>4.0250000000000004</v>
      </c>
      <c r="L7" s="1">
        <f t="shared" si="1"/>
        <v>3.25</v>
      </c>
      <c r="M7" s="1">
        <f t="shared" si="2"/>
        <v>4.6400000000000006</v>
      </c>
      <c r="N7" s="1">
        <f>(G7*0.6)+G7</f>
        <v>3.04</v>
      </c>
    </row>
    <row r="8" spans="1:16" ht="16" x14ac:dyDescent="0.2">
      <c r="A8" s="8" t="s">
        <v>505</v>
      </c>
      <c r="B8" s="16" t="s">
        <v>1188</v>
      </c>
      <c r="C8" s="1">
        <v>1.8</v>
      </c>
      <c r="D8" s="1">
        <v>4.0999999999999996</v>
      </c>
      <c r="E8" s="1">
        <v>3.3</v>
      </c>
      <c r="F8" s="1">
        <v>2.5</v>
      </c>
      <c r="G8" s="1">
        <v>5</v>
      </c>
      <c r="J8" s="1">
        <v>1.8</v>
      </c>
      <c r="K8" s="1">
        <f t="shared" si="0"/>
        <v>4.7149999999999999</v>
      </c>
      <c r="L8" s="1">
        <f t="shared" si="1"/>
        <v>4.29</v>
      </c>
      <c r="M8" s="1">
        <f t="shared" si="2"/>
        <v>3.625</v>
      </c>
      <c r="N8" s="1">
        <f>(G8*0.6)+G8</f>
        <v>8</v>
      </c>
    </row>
    <row r="9" spans="1:16" ht="16" x14ac:dyDescent="0.2">
      <c r="A9" s="1" t="s">
        <v>509</v>
      </c>
      <c r="B9" s="16" t="s">
        <v>1189</v>
      </c>
      <c r="C9" s="1">
        <v>17</v>
      </c>
      <c r="D9" s="1">
        <v>14</v>
      </c>
      <c r="E9" s="1">
        <v>22.9</v>
      </c>
      <c r="F9" s="1">
        <v>24</v>
      </c>
      <c r="G9" s="1">
        <v>20.9</v>
      </c>
      <c r="J9" s="1">
        <v>17</v>
      </c>
      <c r="K9" s="1">
        <f t="shared" si="0"/>
        <v>16.100000000000001</v>
      </c>
      <c r="L9" s="1">
        <f>(E9*0.3)+E9</f>
        <v>29.769999999999996</v>
      </c>
      <c r="M9" s="1">
        <f>(F9*0.45)+F9</f>
        <v>34.799999999999997</v>
      </c>
      <c r="N9" s="1">
        <f>(G9*0.6)+G9</f>
        <v>33.44</v>
      </c>
    </row>
    <row r="10" spans="1:16" ht="16" x14ac:dyDescent="0.2">
      <c r="A10" s="8" t="s">
        <v>504</v>
      </c>
      <c r="B10" s="16" t="s">
        <v>699</v>
      </c>
      <c r="C10" s="1"/>
      <c r="D10" s="1">
        <v>4.5</v>
      </c>
      <c r="E10" s="1">
        <v>0.9</v>
      </c>
      <c r="F10" s="1"/>
      <c r="G10" s="1"/>
      <c r="J10" s="1"/>
      <c r="K10" s="1">
        <v>4.5</v>
      </c>
      <c r="L10" s="1">
        <f>(E10*0.15)+E10</f>
        <v>1.0350000000000001</v>
      </c>
      <c r="M10" s="1"/>
      <c r="N10" s="1"/>
    </row>
    <row r="11" spans="1:16" ht="16" x14ac:dyDescent="0.2">
      <c r="A11" s="8" t="s">
        <v>97</v>
      </c>
      <c r="B11" s="16" t="s">
        <v>1190</v>
      </c>
      <c r="C11" s="1"/>
      <c r="D11" s="1">
        <v>3.8</v>
      </c>
      <c r="E11" s="1">
        <v>13.5</v>
      </c>
      <c r="F11" s="1">
        <v>13.7</v>
      </c>
      <c r="G11" s="1"/>
      <c r="J11" s="1"/>
      <c r="K11" s="1">
        <v>3.8</v>
      </c>
      <c r="L11" s="1">
        <f>(E11*0.15)+E11</f>
        <v>15.525</v>
      </c>
      <c r="M11" s="1">
        <f>(F11*0.3)+F11</f>
        <v>17.809999999999999</v>
      </c>
      <c r="N11" s="1"/>
    </row>
    <row r="12" spans="1:16" ht="16" x14ac:dyDescent="0.2">
      <c r="A12" s="8" t="s">
        <v>506</v>
      </c>
      <c r="B12" s="16" t="s">
        <v>1191</v>
      </c>
      <c r="C12" s="1"/>
      <c r="D12" s="1"/>
      <c r="E12" s="1"/>
      <c r="F12" s="1"/>
      <c r="G12" s="1">
        <v>39.799999999999997</v>
      </c>
      <c r="J12" s="1"/>
      <c r="K12" s="1"/>
      <c r="L12" s="1"/>
      <c r="M12" s="1"/>
      <c r="N12" s="1">
        <v>39.799999999999997</v>
      </c>
    </row>
    <row r="13" spans="1:16" ht="16" x14ac:dyDescent="0.2">
      <c r="A13" s="8" t="s">
        <v>507</v>
      </c>
      <c r="B13" s="16" t="s">
        <v>1047</v>
      </c>
      <c r="C13" s="1"/>
      <c r="D13" s="1"/>
      <c r="E13" s="1"/>
      <c r="F13" s="1"/>
      <c r="G13" s="1">
        <v>22.1</v>
      </c>
      <c r="J13" s="1"/>
      <c r="K13" s="1"/>
      <c r="L13" s="1"/>
      <c r="M13" s="1"/>
      <c r="N13" s="1">
        <v>22.1</v>
      </c>
    </row>
    <row r="14" spans="1:16" ht="16" x14ac:dyDescent="0.2">
      <c r="A14" s="8" t="s">
        <v>213</v>
      </c>
      <c r="B14" s="16" t="s">
        <v>1192</v>
      </c>
      <c r="C14" s="1">
        <v>10.6</v>
      </c>
      <c r="D14" s="1">
        <v>4.7</v>
      </c>
      <c r="E14" s="1"/>
      <c r="F14" s="1"/>
      <c r="G14" s="1"/>
      <c r="J14" s="1">
        <v>10.6</v>
      </c>
      <c r="K14" s="1">
        <f>(D14*0.15)+D14</f>
        <v>5.4050000000000002</v>
      </c>
      <c r="L14" s="1"/>
      <c r="M14" s="1"/>
      <c r="N14" s="1"/>
    </row>
    <row r="15" spans="1:16" x14ac:dyDescent="0.2">
      <c r="A15" s="1"/>
      <c r="B15" s="1"/>
      <c r="I15" s="3" t="s">
        <v>14</v>
      </c>
      <c r="J15" s="1">
        <f>SUM(J2:J14)</f>
        <v>98.3</v>
      </c>
      <c r="K15" s="1">
        <f>SUM(K2:K14)</f>
        <v>104.21</v>
      </c>
      <c r="L15" s="1">
        <f>SUM(L2:L14)</f>
        <v>121.99000000000001</v>
      </c>
      <c r="M15" s="1">
        <f>SUM(M2:M14)</f>
        <v>137</v>
      </c>
      <c r="N15" s="1">
        <f>SUM(N2:N14)</f>
        <v>114.69999999999999</v>
      </c>
      <c r="O15" s="1"/>
      <c r="P15" s="5"/>
    </row>
    <row r="17" spans="1:15" x14ac:dyDescent="0.2">
      <c r="J17" s="1">
        <v>100</v>
      </c>
      <c r="K17" s="1">
        <v>115</v>
      </c>
      <c r="L17" s="1">
        <v>130</v>
      </c>
      <c r="M17" s="1">
        <v>145</v>
      </c>
      <c r="N17" s="1">
        <v>160</v>
      </c>
      <c r="O17" s="1"/>
    </row>
    <row r="19" spans="1:15" x14ac:dyDescent="0.2">
      <c r="J19" s="1">
        <f>J15</f>
        <v>98.3</v>
      </c>
      <c r="K19" s="1">
        <f>SUM(J19+K15)</f>
        <v>202.51</v>
      </c>
      <c r="L19" s="1">
        <f>SUM(K19+L15)</f>
        <v>324.5</v>
      </c>
      <c r="M19" s="1">
        <f>SUM(L19+M15)</f>
        <v>461.5</v>
      </c>
      <c r="N19" s="1">
        <f>SUM(M19+N15)</f>
        <v>576.20000000000005</v>
      </c>
    </row>
    <row r="20" spans="1:15" x14ac:dyDescent="0.2">
      <c r="J20" s="3"/>
      <c r="K20" s="3"/>
      <c r="L20" s="3"/>
      <c r="M20" s="3"/>
    </row>
    <row r="21" spans="1:15" x14ac:dyDescent="0.2">
      <c r="J21" s="1">
        <v>100</v>
      </c>
      <c r="K21" s="1">
        <f>SUM(J21+K17)</f>
        <v>215</v>
      </c>
      <c r="L21" s="1">
        <f>SUM(K21+L17)</f>
        <v>345</v>
      </c>
      <c r="M21" s="1">
        <f>SUM(L21+M17)</f>
        <v>490</v>
      </c>
      <c r="N21" s="1">
        <f>SUM(M21+N17)</f>
        <v>650</v>
      </c>
    </row>
    <row r="23" spans="1:15" x14ac:dyDescent="0.2">
      <c r="J23" s="4" t="s">
        <v>1563</v>
      </c>
      <c r="K23" s="4" t="s">
        <v>1563</v>
      </c>
      <c r="L23" s="4" t="s">
        <v>1563</v>
      </c>
      <c r="M23" s="4" t="s">
        <v>1563</v>
      </c>
      <c r="N23" s="4" t="s">
        <v>1563</v>
      </c>
    </row>
    <row r="24" spans="1:15" ht="16" x14ac:dyDescent="0.2">
      <c r="A24" s="15"/>
      <c r="B24" s="15"/>
      <c r="C24" s="22"/>
      <c r="D24" s="16"/>
      <c r="J24" s="6">
        <f>(J19/J21)*100</f>
        <v>98.3</v>
      </c>
      <c r="K24" s="6">
        <f>(K19/K21)*100</f>
        <v>94.190697674418601</v>
      </c>
      <c r="L24" s="6">
        <f>(L19/L21)*100</f>
        <v>94.057971014492765</v>
      </c>
      <c r="M24" s="6">
        <f>(M19/M21)*100</f>
        <v>94.183673469387756</v>
      </c>
      <c r="N24" s="6">
        <f>(N19/N21)*100</f>
        <v>88.646153846153851</v>
      </c>
    </row>
    <row r="25" spans="1:15" ht="16" x14ac:dyDescent="0.2">
      <c r="A25" s="15"/>
      <c r="B25" s="15"/>
      <c r="C25" s="22"/>
      <c r="D25" s="16"/>
    </row>
    <row r="26" spans="1:15" ht="16" x14ac:dyDescent="0.2">
      <c r="A26" s="15"/>
      <c r="B26" s="15"/>
      <c r="C26" s="22"/>
      <c r="D26" s="16"/>
    </row>
    <row r="27" spans="1:15" ht="16" x14ac:dyDescent="0.2">
      <c r="A27" s="15"/>
      <c r="B27" s="15"/>
      <c r="C27" s="22"/>
      <c r="D27" s="16"/>
    </row>
    <row r="28" spans="1:15" ht="16" x14ac:dyDescent="0.2">
      <c r="A28" s="15"/>
      <c r="B28" s="15"/>
      <c r="C28" s="22"/>
      <c r="D28" s="16"/>
    </row>
    <row r="29" spans="1:15" ht="16" x14ac:dyDescent="0.2">
      <c r="A29" s="15"/>
      <c r="B29" s="15"/>
      <c r="C29" s="22"/>
      <c r="D29" s="16"/>
    </row>
    <row r="30" spans="1:15" ht="16" x14ac:dyDescent="0.2">
      <c r="A30" s="15"/>
      <c r="B30" s="15"/>
      <c r="C30" s="22"/>
      <c r="D30" s="16"/>
    </row>
    <row r="31" spans="1:15" ht="16" x14ac:dyDescent="0.2">
      <c r="A31" s="15"/>
      <c r="B31" s="15"/>
      <c r="C31" s="22"/>
      <c r="D31" s="16"/>
    </row>
    <row r="32" spans="1:15" ht="16" x14ac:dyDescent="0.2">
      <c r="A32" s="15"/>
      <c r="B32" s="15"/>
      <c r="C32" s="22"/>
      <c r="D32" s="16"/>
    </row>
    <row r="33" spans="1:4" ht="16" x14ac:dyDescent="0.2">
      <c r="A33" s="15"/>
      <c r="B33" s="15"/>
      <c r="C33" s="22"/>
      <c r="D33" s="16"/>
    </row>
    <row r="34" spans="1:4" ht="16" x14ac:dyDescent="0.2">
      <c r="A34" s="15"/>
      <c r="B34" s="15"/>
      <c r="C34" s="22"/>
      <c r="D34" s="16"/>
    </row>
    <row r="35" spans="1:4" ht="16" x14ac:dyDescent="0.2">
      <c r="A35" s="15"/>
      <c r="B35" s="15"/>
      <c r="C35" s="22"/>
      <c r="D35" s="16"/>
    </row>
    <row r="36" spans="1:4" ht="16" x14ac:dyDescent="0.2">
      <c r="A36" s="15"/>
      <c r="B36" s="15"/>
      <c r="C36" s="22"/>
      <c r="D36" s="16"/>
    </row>
    <row r="37" spans="1:4" ht="16" x14ac:dyDescent="0.2">
      <c r="A37" s="15"/>
      <c r="B37" s="15"/>
      <c r="C37" s="22"/>
      <c r="D37" s="16"/>
    </row>
    <row r="38" spans="1:4" ht="16" x14ac:dyDescent="0.2">
      <c r="A38" s="15"/>
      <c r="B38" s="15"/>
      <c r="C38" s="22"/>
      <c r="D38" s="16"/>
    </row>
    <row r="39" spans="1:4" ht="16" x14ac:dyDescent="0.2">
      <c r="A39" s="15"/>
      <c r="B39" s="15"/>
      <c r="C39" s="22"/>
      <c r="D39" s="16"/>
    </row>
    <row r="40" spans="1:4" ht="16" x14ac:dyDescent="0.2">
      <c r="A40" s="15"/>
      <c r="B40" s="15"/>
      <c r="C40" s="22"/>
      <c r="D40" s="16"/>
    </row>
  </sheetData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49"/>
  <sheetViews>
    <sheetView topLeftCell="D1" workbookViewId="0">
      <selection activeCell="M29" sqref="M29:U29"/>
    </sheetView>
  </sheetViews>
  <sheetFormatPr baseColWidth="10" defaultRowHeight="15" x14ac:dyDescent="0.2"/>
  <cols>
    <col min="2" max="2" width="42.33203125" customWidth="1"/>
  </cols>
  <sheetData>
    <row r="1" spans="1:21" ht="16" x14ac:dyDescent="0.2">
      <c r="A1" s="3" t="s">
        <v>15</v>
      </c>
      <c r="B1" s="16" t="s">
        <v>681</v>
      </c>
      <c r="C1" s="3">
        <v>1992</v>
      </c>
      <c r="D1" s="3">
        <v>1995</v>
      </c>
      <c r="E1" s="3">
        <v>1999</v>
      </c>
      <c r="F1" s="3">
        <v>2003</v>
      </c>
      <c r="G1" s="3">
        <v>2007</v>
      </c>
      <c r="H1" s="3">
        <v>2011</v>
      </c>
      <c r="I1" s="3">
        <v>2015</v>
      </c>
      <c r="J1" s="3">
        <v>2019</v>
      </c>
      <c r="K1" s="3">
        <v>2023</v>
      </c>
      <c r="M1" s="3">
        <v>1992</v>
      </c>
      <c r="N1" s="3">
        <v>1995</v>
      </c>
      <c r="O1" s="3">
        <v>1999</v>
      </c>
      <c r="P1" s="3">
        <v>2003</v>
      </c>
      <c r="Q1" s="3">
        <v>2007</v>
      </c>
      <c r="R1" s="3">
        <v>2011</v>
      </c>
      <c r="S1" s="3">
        <v>2015</v>
      </c>
      <c r="T1" s="3">
        <v>2019</v>
      </c>
      <c r="U1" s="3">
        <v>2023</v>
      </c>
    </row>
    <row r="2" spans="1:21" ht="16" x14ac:dyDescent="0.2">
      <c r="A2" s="1" t="s">
        <v>127</v>
      </c>
      <c r="B2" s="16" t="s">
        <v>481</v>
      </c>
      <c r="C2" s="1">
        <v>12.2</v>
      </c>
      <c r="D2" s="1">
        <v>14.2</v>
      </c>
      <c r="E2" s="1">
        <v>23.4</v>
      </c>
      <c r="F2" s="1">
        <v>25.4</v>
      </c>
      <c r="G2" s="1">
        <v>26.1</v>
      </c>
      <c r="H2" s="1">
        <v>23.3</v>
      </c>
      <c r="I2" s="1">
        <v>24.8</v>
      </c>
      <c r="J2" s="1">
        <v>23.1</v>
      </c>
      <c r="K2" s="1">
        <v>15.3</v>
      </c>
      <c r="M2" s="1">
        <v>12.2</v>
      </c>
      <c r="N2" s="1">
        <f>(D2*0.15)+D2</f>
        <v>16.329999999999998</v>
      </c>
      <c r="O2" s="1">
        <f>(E2*0.35)+E2</f>
        <v>31.589999999999996</v>
      </c>
      <c r="P2" s="1">
        <f>(F2*0.55)+F2</f>
        <v>39.369999999999997</v>
      </c>
      <c r="Q2" s="1">
        <f>(G2*0.75)+G2</f>
        <v>45.675000000000004</v>
      </c>
      <c r="R2" s="1">
        <f>(H2*0.95)+H2</f>
        <v>45.435000000000002</v>
      </c>
      <c r="S2" s="1">
        <f>(I2*1.15)+I2</f>
        <v>53.32</v>
      </c>
      <c r="T2" s="1">
        <f>(J2*1.35)+J2</f>
        <v>54.285000000000004</v>
      </c>
      <c r="U2" s="1">
        <f>(K2*1.5)+K2</f>
        <v>38.25</v>
      </c>
    </row>
    <row r="3" spans="1:21" ht="16" x14ac:dyDescent="0.2">
      <c r="A3" s="1" t="s">
        <v>499</v>
      </c>
      <c r="B3" s="16" t="s">
        <v>500</v>
      </c>
      <c r="E3" s="1">
        <v>16.100000000000001</v>
      </c>
      <c r="F3" s="1">
        <v>7.3</v>
      </c>
      <c r="N3" s="1"/>
      <c r="O3" s="1">
        <v>16.100000000000001</v>
      </c>
      <c r="P3" s="1">
        <f>(F3*0.2)+F3</f>
        <v>8.76</v>
      </c>
      <c r="Q3" s="1"/>
      <c r="R3" s="1"/>
      <c r="S3" s="1"/>
      <c r="U3" s="1"/>
    </row>
    <row r="4" spans="1:21" ht="16" x14ac:dyDescent="0.2">
      <c r="A4" s="21" t="s">
        <v>491</v>
      </c>
      <c r="B4" s="16" t="s">
        <v>492</v>
      </c>
      <c r="C4" s="1">
        <v>22</v>
      </c>
      <c r="D4" s="1">
        <v>7.9</v>
      </c>
      <c r="E4" s="1"/>
      <c r="F4" s="1"/>
      <c r="M4" s="1">
        <v>22</v>
      </c>
      <c r="N4" s="1"/>
      <c r="O4" s="1"/>
      <c r="P4" s="1"/>
      <c r="Q4" s="1"/>
      <c r="R4" s="1"/>
      <c r="S4" s="1"/>
      <c r="U4" s="1"/>
    </row>
    <row r="5" spans="1:21" ht="16" x14ac:dyDescent="0.2">
      <c r="A5" s="1" t="s">
        <v>129</v>
      </c>
      <c r="B5" s="16" t="s">
        <v>437</v>
      </c>
      <c r="C5" s="1">
        <v>9.6999999999999993</v>
      </c>
      <c r="D5" s="1">
        <v>6</v>
      </c>
      <c r="E5" s="1">
        <v>15.2</v>
      </c>
      <c r="F5" s="1">
        <v>7</v>
      </c>
      <c r="G5" s="1">
        <v>10.6</v>
      </c>
      <c r="H5" s="1">
        <v>17.100000000000001</v>
      </c>
      <c r="I5" s="1">
        <v>15.2</v>
      </c>
      <c r="J5" s="1">
        <v>9.8000000000000007</v>
      </c>
      <c r="K5" s="1">
        <v>9.3000000000000007</v>
      </c>
      <c r="M5" s="1">
        <v>9.6999999999999993</v>
      </c>
      <c r="N5" s="1">
        <f>(D5*0.15)+D5</f>
        <v>6.9</v>
      </c>
      <c r="O5" s="1">
        <f>(E5*0.35)+E5</f>
        <v>20.52</v>
      </c>
      <c r="P5" s="1">
        <f>(F5*0.55)+F5</f>
        <v>10.850000000000001</v>
      </c>
      <c r="Q5" s="1">
        <f>(G5*0.75)+G5</f>
        <v>18.549999999999997</v>
      </c>
      <c r="R5" s="1">
        <f>(H5*0.95)+H5</f>
        <v>33.344999999999999</v>
      </c>
      <c r="S5" s="1">
        <f>(I5*1.15)+I5</f>
        <v>32.679999999999993</v>
      </c>
      <c r="T5" s="1">
        <f>(J5*1.35)+J5</f>
        <v>23.03</v>
      </c>
      <c r="U5" s="1">
        <f t="shared" ref="U5" si="0">(K5*1.5)+K5</f>
        <v>23.25</v>
      </c>
    </row>
    <row r="6" spans="1:21" ht="16" x14ac:dyDescent="0.2">
      <c r="A6" s="1" t="s">
        <v>487</v>
      </c>
      <c r="B6" s="16" t="s">
        <v>488</v>
      </c>
      <c r="C6" s="1">
        <v>13.6</v>
      </c>
      <c r="D6" s="1">
        <v>32.200000000000003</v>
      </c>
      <c r="E6" s="1">
        <v>7.6</v>
      </c>
      <c r="F6" s="1"/>
      <c r="G6" s="1"/>
      <c r="H6" s="1"/>
      <c r="I6" s="1"/>
      <c r="M6" s="1">
        <v>13.6</v>
      </c>
      <c r="N6" s="1">
        <f>(D6*0.15)+D6</f>
        <v>37.03</v>
      </c>
      <c r="O6" s="1">
        <f>(E6*0.35)+E6</f>
        <v>10.26</v>
      </c>
      <c r="P6" s="1"/>
      <c r="Q6" s="1"/>
      <c r="R6" s="1"/>
      <c r="S6" s="1"/>
      <c r="U6" s="1"/>
    </row>
    <row r="7" spans="1:21" ht="16" x14ac:dyDescent="0.2">
      <c r="A7" s="25" t="s">
        <v>496</v>
      </c>
      <c r="B7" s="16" t="s">
        <v>497</v>
      </c>
      <c r="C7" s="1">
        <v>8.8000000000000007</v>
      </c>
      <c r="E7" s="1"/>
      <c r="F7" s="1"/>
      <c r="G7" s="1"/>
      <c r="H7" s="1"/>
      <c r="I7" s="1"/>
      <c r="M7" s="1">
        <v>8.8000000000000007</v>
      </c>
      <c r="N7" s="1"/>
      <c r="O7" s="1"/>
      <c r="P7" s="1"/>
      <c r="Q7" s="1"/>
      <c r="R7" s="1"/>
      <c r="S7" s="1"/>
      <c r="U7" s="1"/>
    </row>
    <row r="8" spans="1:21" ht="16" x14ac:dyDescent="0.2">
      <c r="A8" s="21" t="s">
        <v>265</v>
      </c>
      <c r="B8" s="16" t="s">
        <v>498</v>
      </c>
      <c r="C8" s="1">
        <v>7.1</v>
      </c>
      <c r="D8" s="1">
        <v>0.8</v>
      </c>
      <c r="E8" s="1"/>
      <c r="F8" s="1"/>
      <c r="G8" s="1"/>
      <c r="H8" s="1"/>
      <c r="I8" s="1"/>
      <c r="M8" s="1">
        <v>7.1</v>
      </c>
      <c r="N8" s="1">
        <f>(D8*0.15)+D8</f>
        <v>0.92</v>
      </c>
      <c r="O8" s="1"/>
      <c r="P8" s="1"/>
      <c r="Q8" s="1"/>
      <c r="R8" s="1"/>
      <c r="S8" s="1"/>
      <c r="U8" s="1"/>
    </row>
    <row r="9" spans="1:21" ht="16" x14ac:dyDescent="0.2">
      <c r="A9" s="1" t="s">
        <v>1280</v>
      </c>
      <c r="B9" s="16" t="s">
        <v>1282</v>
      </c>
      <c r="C9" s="1">
        <v>3.7</v>
      </c>
      <c r="D9" s="1"/>
      <c r="E9" s="1"/>
      <c r="F9" s="1"/>
      <c r="G9" s="1"/>
      <c r="H9" s="1"/>
      <c r="I9" s="1"/>
      <c r="M9" s="1">
        <v>3.7</v>
      </c>
      <c r="N9" s="1"/>
      <c r="O9" s="1"/>
      <c r="P9" s="1"/>
      <c r="Q9" s="1"/>
      <c r="R9" s="1"/>
      <c r="S9" s="1"/>
      <c r="U9" s="1"/>
    </row>
    <row r="10" spans="1:21" ht="16" x14ac:dyDescent="0.2">
      <c r="A10" s="1" t="s">
        <v>483</v>
      </c>
      <c r="B10" s="16" t="s">
        <v>484</v>
      </c>
      <c r="C10" s="1"/>
      <c r="D10" s="1"/>
      <c r="E10" s="1"/>
      <c r="F10" s="1"/>
      <c r="G10" s="1"/>
      <c r="H10" s="1"/>
      <c r="I10" s="1">
        <v>8.6999999999999993</v>
      </c>
      <c r="J10" s="1">
        <v>1.2</v>
      </c>
      <c r="K10" s="1"/>
      <c r="M10" s="1"/>
      <c r="N10" s="1"/>
      <c r="O10" s="1"/>
      <c r="P10" s="1"/>
      <c r="Q10" s="1"/>
      <c r="R10" s="1"/>
      <c r="S10" s="1">
        <v>8.6999999999999993</v>
      </c>
      <c r="T10" s="1">
        <f>(J10*0.2)+J10</f>
        <v>1.44</v>
      </c>
      <c r="U10" s="1"/>
    </row>
    <row r="11" spans="1:21" ht="16" x14ac:dyDescent="0.2">
      <c r="A11" s="1" t="s">
        <v>485</v>
      </c>
      <c r="B11" s="16" t="s">
        <v>486</v>
      </c>
      <c r="C11" s="1"/>
      <c r="D11" s="1"/>
      <c r="E11" s="1"/>
      <c r="F11" s="1"/>
      <c r="G11" s="1"/>
      <c r="H11" s="1"/>
      <c r="I11" s="1">
        <v>8.1</v>
      </c>
      <c r="J11" s="1">
        <v>17.8</v>
      </c>
      <c r="K11" s="1">
        <v>16.100000000000001</v>
      </c>
      <c r="M11" s="1"/>
      <c r="N11" s="1"/>
      <c r="O11" s="1"/>
      <c r="P11" s="1"/>
      <c r="Q11" s="1"/>
      <c r="R11" s="1"/>
      <c r="S11" s="1">
        <v>8.1</v>
      </c>
      <c r="T11" s="1">
        <f>(J11*0.2)+J11</f>
        <v>21.36</v>
      </c>
      <c r="U11" s="1">
        <f>(K11*0.35)+K11</f>
        <v>21.734999999999999</v>
      </c>
    </row>
    <row r="12" spans="1:21" ht="16" x14ac:dyDescent="0.2">
      <c r="A12" s="1" t="s">
        <v>1281</v>
      </c>
      <c r="B12" s="16" t="s">
        <v>1283</v>
      </c>
      <c r="C12" s="1">
        <v>6.9</v>
      </c>
      <c r="D12" s="1">
        <v>3.6</v>
      </c>
      <c r="E12" s="1"/>
      <c r="F12" s="1"/>
      <c r="G12" s="1"/>
      <c r="H12" s="1"/>
      <c r="I12" s="1"/>
      <c r="M12" s="1">
        <v>6.9</v>
      </c>
      <c r="N12" s="1">
        <f>(D12*0.15)+D12</f>
        <v>4.1400000000000006</v>
      </c>
      <c r="O12" s="1"/>
      <c r="P12" s="1"/>
      <c r="Q12" s="1"/>
      <c r="R12" s="1"/>
      <c r="S12" s="1"/>
      <c r="U12" s="1"/>
    </row>
    <row r="13" spans="1:21" ht="16" x14ac:dyDescent="0.2">
      <c r="A13" s="1" t="s">
        <v>126</v>
      </c>
      <c r="B13" s="16" t="s">
        <v>480</v>
      </c>
      <c r="D13" s="1">
        <v>16.2</v>
      </c>
      <c r="E13" s="1">
        <v>15.9</v>
      </c>
      <c r="F13" s="1">
        <v>17.7</v>
      </c>
      <c r="G13" s="1">
        <v>27.8</v>
      </c>
      <c r="H13" s="1">
        <v>28.6</v>
      </c>
      <c r="I13" s="1">
        <v>27.7</v>
      </c>
      <c r="J13" s="1">
        <v>28.9</v>
      </c>
      <c r="K13" s="1">
        <v>31.2</v>
      </c>
      <c r="M13" s="1"/>
      <c r="N13" s="1">
        <v>16.2</v>
      </c>
      <c r="O13" s="1">
        <f>(E13*0.2)+E13</f>
        <v>19.080000000000002</v>
      </c>
      <c r="P13" s="1">
        <f>(F13*0.4)+F13</f>
        <v>24.78</v>
      </c>
      <c r="Q13" s="1">
        <f>(G13*0.6)+G13</f>
        <v>44.480000000000004</v>
      </c>
      <c r="R13" s="1">
        <f>(H13*0.8)+H13</f>
        <v>51.480000000000004</v>
      </c>
      <c r="S13" s="1">
        <f>(I13*1)+I13</f>
        <v>55.4</v>
      </c>
      <c r="T13" s="1">
        <f>(J13*1.2)+J13</f>
        <v>63.58</v>
      </c>
      <c r="U13" s="1">
        <f>(K13*1.35)+K13</f>
        <v>73.320000000000007</v>
      </c>
    </row>
    <row r="14" spans="1:21" ht="16" x14ac:dyDescent="0.2">
      <c r="A14" s="1" t="s">
        <v>81</v>
      </c>
      <c r="B14" s="16" t="s">
        <v>493</v>
      </c>
      <c r="D14" s="1">
        <v>5.9</v>
      </c>
      <c r="E14" s="1">
        <v>6.1</v>
      </c>
      <c r="F14" s="1">
        <v>2.2000000000000002</v>
      </c>
      <c r="G14" s="1">
        <v>1</v>
      </c>
      <c r="H14" s="1"/>
      <c r="I14" s="1"/>
      <c r="M14" s="1"/>
      <c r="N14" s="1">
        <v>5.9</v>
      </c>
      <c r="O14" s="1">
        <f t="shared" ref="O14" si="1">(E14*0.2)+E14</f>
        <v>7.3199999999999994</v>
      </c>
      <c r="P14" s="1">
        <f t="shared" ref="P14" si="2">(F14*0.4)+F14</f>
        <v>3.08</v>
      </c>
      <c r="Q14" s="1">
        <f t="shared" ref="Q14:Q16" si="3">(G14*0.6)+G14</f>
        <v>1.6</v>
      </c>
      <c r="R14" s="1"/>
      <c r="S14" s="1"/>
      <c r="U14" s="1"/>
    </row>
    <row r="15" spans="1:21" ht="16" x14ac:dyDescent="0.2">
      <c r="A15" s="21" t="s">
        <v>494</v>
      </c>
      <c r="B15" s="16" t="s">
        <v>495</v>
      </c>
      <c r="D15" s="1">
        <v>5</v>
      </c>
      <c r="E15" s="1"/>
      <c r="F15" s="1"/>
      <c r="G15" s="1"/>
      <c r="H15" s="1"/>
      <c r="I15" s="1"/>
      <c r="M15" s="1"/>
      <c r="N15" s="1">
        <v>5</v>
      </c>
      <c r="O15" s="1"/>
      <c r="P15" s="1"/>
      <c r="Q15" s="1"/>
      <c r="R15" s="1"/>
      <c r="S15" s="1"/>
      <c r="U15" s="1"/>
    </row>
    <row r="16" spans="1:21" ht="16" x14ac:dyDescent="0.2">
      <c r="A16" s="1" t="s">
        <v>130</v>
      </c>
      <c r="B16" s="16" t="s">
        <v>503</v>
      </c>
      <c r="C16" s="1"/>
      <c r="D16" s="1"/>
      <c r="E16" s="3">
        <v>7.3</v>
      </c>
      <c r="F16" s="1">
        <v>13</v>
      </c>
      <c r="G16" s="1">
        <v>7.1</v>
      </c>
      <c r="H16" s="1">
        <v>2.1</v>
      </c>
      <c r="I16" s="1"/>
      <c r="M16" s="1"/>
      <c r="N16" s="1"/>
      <c r="O16" s="1">
        <f>(E16*0.2)+E16</f>
        <v>8.76</v>
      </c>
      <c r="P16" s="1">
        <f>(F16*0.4)+F16</f>
        <v>18.2</v>
      </c>
      <c r="Q16" s="1">
        <f t="shared" si="3"/>
        <v>11.36</v>
      </c>
      <c r="R16" s="1">
        <f t="shared" ref="R16" si="4">(H16*0.8)+H16</f>
        <v>3.7800000000000002</v>
      </c>
      <c r="S16" s="1"/>
      <c r="U16" s="1"/>
    </row>
    <row r="17" spans="1:21" ht="16" x14ac:dyDescent="0.2">
      <c r="A17" s="1" t="s">
        <v>489</v>
      </c>
      <c r="B17" s="16" t="s">
        <v>490</v>
      </c>
      <c r="C17" s="1"/>
      <c r="D17" s="1"/>
      <c r="E17" s="1"/>
      <c r="F17" s="1"/>
      <c r="G17" s="1">
        <v>7.1</v>
      </c>
      <c r="H17" s="1">
        <v>3.8</v>
      </c>
      <c r="I17" s="1">
        <v>0.9</v>
      </c>
      <c r="J17" s="1">
        <v>1.8</v>
      </c>
      <c r="K17" s="1">
        <v>1</v>
      </c>
      <c r="M17" s="1"/>
      <c r="N17" s="1"/>
      <c r="O17" s="1"/>
      <c r="P17" s="1"/>
      <c r="Q17" s="1">
        <v>7.1</v>
      </c>
      <c r="R17" s="1">
        <f>(H17*0.2)+H17</f>
        <v>4.5599999999999996</v>
      </c>
      <c r="S17" s="1">
        <f>(I17*0.4)+I17</f>
        <v>1.26</v>
      </c>
      <c r="T17" s="1">
        <f>(J17*0.6)+J17</f>
        <v>2.88</v>
      </c>
      <c r="U17" s="1">
        <f>(K17*0.75)+K17</f>
        <v>1.75</v>
      </c>
    </row>
    <row r="18" spans="1:21" ht="16" x14ac:dyDescent="0.2">
      <c r="A18" s="1" t="s">
        <v>1413</v>
      </c>
      <c r="B18" s="16" t="s">
        <v>1405</v>
      </c>
      <c r="C18" s="1"/>
      <c r="D18" s="1"/>
      <c r="E18" s="1"/>
      <c r="F18" s="1"/>
      <c r="G18" s="1"/>
      <c r="H18" s="1"/>
      <c r="I18" s="1"/>
      <c r="J18" s="1">
        <v>4.4000000000000004</v>
      </c>
      <c r="K18" s="1">
        <v>13.3</v>
      </c>
      <c r="M18" s="1"/>
      <c r="N18" s="1"/>
      <c r="O18" s="1"/>
      <c r="P18" s="1"/>
      <c r="Q18" s="1"/>
      <c r="R18" s="1"/>
      <c r="S18" s="1"/>
      <c r="T18" s="1">
        <v>4.4000000000000004</v>
      </c>
      <c r="U18" s="1">
        <f>(K18*0.15)+K18</f>
        <v>15.295000000000002</v>
      </c>
    </row>
    <row r="19" spans="1:21" ht="16" x14ac:dyDescent="0.2">
      <c r="A19" s="1" t="s">
        <v>501</v>
      </c>
      <c r="B19" s="16" t="s">
        <v>502</v>
      </c>
      <c r="C19" s="1"/>
      <c r="D19" s="1"/>
      <c r="E19" s="1"/>
      <c r="F19" s="1">
        <v>24.6</v>
      </c>
      <c r="G19" s="1"/>
      <c r="H19" s="1"/>
      <c r="I19" s="1"/>
      <c r="M19" s="1"/>
      <c r="N19" s="1"/>
      <c r="O19" s="1"/>
      <c r="P19" s="1">
        <v>24.6</v>
      </c>
      <c r="Q19" s="1"/>
      <c r="R19" s="1"/>
      <c r="S19" s="1"/>
      <c r="U19" s="1"/>
    </row>
    <row r="20" spans="1:21" ht="16" x14ac:dyDescent="0.2">
      <c r="A20" s="1" t="s">
        <v>128</v>
      </c>
      <c r="B20" s="16" t="s">
        <v>482</v>
      </c>
      <c r="C20" s="1"/>
      <c r="D20" s="1"/>
      <c r="E20" s="1"/>
      <c r="F20" s="1"/>
      <c r="G20" s="1">
        <v>17.899999999999999</v>
      </c>
      <c r="H20" s="1">
        <v>20.5</v>
      </c>
      <c r="I20" s="1">
        <v>13.7</v>
      </c>
      <c r="J20" s="1">
        <v>11.4</v>
      </c>
      <c r="K20" s="1">
        <v>8.1999999999999993</v>
      </c>
      <c r="M20" s="1"/>
      <c r="N20" s="1"/>
      <c r="O20" s="1"/>
      <c r="P20" s="1"/>
      <c r="Q20" s="1">
        <v>17.899999999999999</v>
      </c>
      <c r="R20" s="1">
        <f t="shared" ref="R20" si="5">(H20*0.2)+H20</f>
        <v>24.6</v>
      </c>
      <c r="S20" s="1">
        <f>(I20*0.4)+I20</f>
        <v>19.18</v>
      </c>
      <c r="T20" s="1">
        <f>(J20*0.6)+J20</f>
        <v>18.240000000000002</v>
      </c>
      <c r="U20" s="1">
        <f>(K20*0.75)+K20</f>
        <v>14.349999999999998</v>
      </c>
    </row>
    <row r="21" spans="1:21" x14ac:dyDescent="0.2">
      <c r="L21" s="3" t="s">
        <v>14</v>
      </c>
      <c r="M21" s="1">
        <f>SUM(M2:M20)</f>
        <v>84.000000000000014</v>
      </c>
      <c r="N21" s="1">
        <f t="shared" ref="N21:U21" si="6">SUM(N2:N20)</f>
        <v>92.42</v>
      </c>
      <c r="O21" s="1">
        <f t="shared" si="6"/>
        <v>113.63</v>
      </c>
      <c r="P21" s="1">
        <f t="shared" si="6"/>
        <v>129.63999999999999</v>
      </c>
      <c r="Q21" s="1">
        <f t="shared" si="6"/>
        <v>146.66499999999999</v>
      </c>
      <c r="R21" s="1">
        <f t="shared" si="6"/>
        <v>163.19999999999999</v>
      </c>
      <c r="S21" s="1">
        <f t="shared" si="6"/>
        <v>178.64</v>
      </c>
      <c r="T21" s="1">
        <f t="shared" si="6"/>
        <v>189.215</v>
      </c>
      <c r="U21" s="1">
        <f t="shared" si="6"/>
        <v>187.95000000000002</v>
      </c>
    </row>
    <row r="23" spans="1:21" x14ac:dyDescent="0.2">
      <c r="M23" s="1">
        <v>100</v>
      </c>
      <c r="N23" s="1">
        <v>115</v>
      </c>
      <c r="O23" s="1">
        <v>135</v>
      </c>
      <c r="P23" s="1">
        <v>155</v>
      </c>
      <c r="Q23" s="1">
        <v>175</v>
      </c>
      <c r="R23" s="1">
        <v>195</v>
      </c>
      <c r="S23" s="1">
        <v>215</v>
      </c>
      <c r="T23" s="1">
        <v>235</v>
      </c>
      <c r="U23" s="1">
        <v>250</v>
      </c>
    </row>
    <row r="25" spans="1:21" x14ac:dyDescent="0.2">
      <c r="M25" s="1">
        <f>M21</f>
        <v>84.000000000000014</v>
      </c>
      <c r="N25" s="1">
        <f t="shared" ref="N25:U25" si="7">SUM(M25+N21)</f>
        <v>176.42000000000002</v>
      </c>
      <c r="O25" s="1">
        <f t="shared" si="7"/>
        <v>290.05</v>
      </c>
      <c r="P25" s="1">
        <f t="shared" si="7"/>
        <v>419.69</v>
      </c>
      <c r="Q25" s="1">
        <f t="shared" si="7"/>
        <v>566.35500000000002</v>
      </c>
      <c r="R25" s="1">
        <f t="shared" si="7"/>
        <v>729.55500000000006</v>
      </c>
      <c r="S25" s="1">
        <f t="shared" si="7"/>
        <v>908.19500000000005</v>
      </c>
      <c r="T25" s="1">
        <f t="shared" si="7"/>
        <v>1097.4100000000001</v>
      </c>
      <c r="U25" s="1">
        <f t="shared" si="7"/>
        <v>1285.3600000000001</v>
      </c>
    </row>
    <row r="26" spans="1:21" x14ac:dyDescent="0.2">
      <c r="M26" s="3"/>
      <c r="N26" s="3"/>
      <c r="O26" s="3"/>
      <c r="P26" s="3"/>
    </row>
    <row r="27" spans="1:21" x14ac:dyDescent="0.2">
      <c r="M27" s="1">
        <v>100</v>
      </c>
      <c r="N27" s="1">
        <f t="shared" ref="N27:U27" si="8">SUM(M27+N23)</f>
        <v>215</v>
      </c>
      <c r="O27" s="1">
        <f t="shared" si="8"/>
        <v>350</v>
      </c>
      <c r="P27" s="1">
        <f t="shared" si="8"/>
        <v>505</v>
      </c>
      <c r="Q27" s="1">
        <f t="shared" si="8"/>
        <v>680</v>
      </c>
      <c r="R27" s="1">
        <f t="shared" si="8"/>
        <v>875</v>
      </c>
      <c r="S27" s="1">
        <f t="shared" si="8"/>
        <v>1090</v>
      </c>
      <c r="T27" s="1">
        <f t="shared" si="8"/>
        <v>1325</v>
      </c>
      <c r="U27" s="1">
        <f t="shared" si="8"/>
        <v>1575</v>
      </c>
    </row>
    <row r="28" spans="1:21" x14ac:dyDescent="0.2">
      <c r="U28" s="9"/>
    </row>
    <row r="29" spans="1:21" x14ac:dyDescent="0.2">
      <c r="M29" s="4" t="s">
        <v>1563</v>
      </c>
      <c r="N29" s="4" t="s">
        <v>1563</v>
      </c>
      <c r="O29" s="4" t="s">
        <v>1563</v>
      </c>
      <c r="P29" s="4" t="s">
        <v>1563</v>
      </c>
      <c r="Q29" s="4" t="s">
        <v>1563</v>
      </c>
      <c r="R29" s="4" t="s">
        <v>1563</v>
      </c>
      <c r="S29" s="4" t="s">
        <v>1563</v>
      </c>
      <c r="T29" s="4" t="s">
        <v>1563</v>
      </c>
      <c r="U29" s="4" t="s">
        <v>1563</v>
      </c>
    </row>
    <row r="30" spans="1:21" ht="16" x14ac:dyDescent="0.2">
      <c r="A30" s="21"/>
      <c r="C30" s="16"/>
      <c r="D30" s="16"/>
      <c r="M30" s="6">
        <f t="shared" ref="M30:U30" si="9">(M25/M27)*100</f>
        <v>84.000000000000014</v>
      </c>
      <c r="N30" s="6">
        <f t="shared" si="9"/>
        <v>82.055813953488382</v>
      </c>
      <c r="O30" s="6">
        <f t="shared" si="9"/>
        <v>82.871428571428567</v>
      </c>
      <c r="P30" s="6">
        <f t="shared" si="9"/>
        <v>83.106930693069302</v>
      </c>
      <c r="Q30" s="6">
        <f t="shared" si="9"/>
        <v>83.287500000000009</v>
      </c>
      <c r="R30" s="5">
        <f t="shared" si="9"/>
        <v>83.377714285714291</v>
      </c>
      <c r="S30" s="5">
        <f t="shared" si="9"/>
        <v>83.320642201834872</v>
      </c>
      <c r="T30" s="5">
        <f t="shared" si="9"/>
        <v>82.823396226415099</v>
      </c>
      <c r="U30" s="6">
        <f t="shared" si="9"/>
        <v>81.61015873015873</v>
      </c>
    </row>
    <row r="31" spans="1:21" ht="16" x14ac:dyDescent="0.2">
      <c r="A31" s="21"/>
      <c r="C31" s="16"/>
      <c r="D31" s="16"/>
    </row>
    <row r="32" spans="1:21" ht="16" x14ac:dyDescent="0.2">
      <c r="A32" s="21"/>
      <c r="C32" s="16"/>
      <c r="D32" s="16"/>
    </row>
    <row r="33" spans="1:4" ht="16" x14ac:dyDescent="0.2">
      <c r="A33" s="21"/>
      <c r="C33" s="16"/>
      <c r="D33" s="16"/>
    </row>
    <row r="34" spans="1:4" ht="16" x14ac:dyDescent="0.2">
      <c r="A34" s="21"/>
      <c r="C34" s="16"/>
      <c r="D34" s="16"/>
    </row>
    <row r="35" spans="1:4" ht="16" x14ac:dyDescent="0.2">
      <c r="A35" s="21"/>
      <c r="C35" s="16"/>
      <c r="D35" s="16"/>
    </row>
    <row r="36" spans="1:4" ht="16" x14ac:dyDescent="0.2">
      <c r="A36" s="21"/>
      <c r="C36" s="16"/>
      <c r="D36" s="16"/>
    </row>
    <row r="37" spans="1:4" ht="16" x14ac:dyDescent="0.2">
      <c r="A37" s="21"/>
      <c r="C37" s="16"/>
      <c r="D37" s="16"/>
    </row>
    <row r="38" spans="1:4" ht="16" x14ac:dyDescent="0.2">
      <c r="A38" s="21"/>
      <c r="C38" s="16"/>
      <c r="D38" s="16"/>
    </row>
    <row r="39" spans="1:4" ht="16" x14ac:dyDescent="0.2">
      <c r="A39" s="21"/>
      <c r="C39" s="16"/>
      <c r="D39" s="16"/>
    </row>
    <row r="40" spans="1:4" ht="16" x14ac:dyDescent="0.2">
      <c r="A40" s="21"/>
      <c r="C40" s="16"/>
      <c r="D40" s="16"/>
    </row>
    <row r="41" spans="1:4" ht="16" x14ac:dyDescent="0.2">
      <c r="A41" s="21"/>
      <c r="C41" s="16"/>
      <c r="D41" s="16"/>
    </row>
    <row r="42" spans="1:4" ht="16" x14ac:dyDescent="0.2">
      <c r="A42" s="21"/>
      <c r="C42" s="16"/>
      <c r="D42" s="16"/>
    </row>
    <row r="43" spans="1:4" ht="16" x14ac:dyDescent="0.2">
      <c r="A43" s="21"/>
      <c r="C43" s="16"/>
      <c r="D43" s="16"/>
    </row>
    <row r="44" spans="1:4" ht="16" x14ac:dyDescent="0.2">
      <c r="A44" s="21"/>
      <c r="C44" s="16"/>
      <c r="D44" s="16"/>
    </row>
    <row r="45" spans="1:4" ht="16" x14ac:dyDescent="0.2">
      <c r="A45" s="21"/>
      <c r="C45" s="16"/>
      <c r="D45" s="16"/>
    </row>
    <row r="46" spans="1:4" ht="16" x14ac:dyDescent="0.2">
      <c r="A46" s="21"/>
      <c r="C46" s="16"/>
      <c r="D46" s="16"/>
    </row>
    <row r="47" spans="1:4" ht="16" x14ac:dyDescent="0.2">
      <c r="A47" s="21"/>
      <c r="C47" s="16"/>
      <c r="D47" s="16"/>
    </row>
    <row r="48" spans="1:4" ht="16" x14ac:dyDescent="0.2">
      <c r="A48" s="21"/>
      <c r="C48" s="16"/>
      <c r="D48" s="16"/>
    </row>
    <row r="49" spans="1:4" ht="16" x14ac:dyDescent="0.2">
      <c r="A49" s="21"/>
      <c r="C49" s="16"/>
      <c r="D49" s="16"/>
    </row>
  </sheetData>
  <pageMargins left="0.7" right="0.7" top="0.75" bottom="0.75" header="0.3" footer="0.3"/>
  <pageSetup paperSize="9" orientation="portrait" horizontalDpi="4294967292" verticalDpi="4294967292"/>
  <ignoredErrors>
    <ignoredError sqref="M21" formulaRange="1"/>
    <ignoredError sqref="S1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23"/>
  <sheetViews>
    <sheetView topLeftCell="B1" workbookViewId="0">
      <selection activeCell="K16" sqref="K16:P16"/>
    </sheetView>
  </sheetViews>
  <sheetFormatPr baseColWidth="10" defaultRowHeight="15" x14ac:dyDescent="0.2"/>
  <cols>
    <col min="1" max="1" width="13.6640625" customWidth="1"/>
    <col min="2" max="2" width="30.1640625" customWidth="1"/>
  </cols>
  <sheetData>
    <row r="1" spans="1:18" ht="16" x14ac:dyDescent="0.2">
      <c r="A1" s="3" t="s">
        <v>15</v>
      </c>
      <c r="B1" s="24" t="s">
        <v>681</v>
      </c>
      <c r="C1" s="3">
        <v>1917</v>
      </c>
      <c r="D1" s="3">
        <v>1919</v>
      </c>
      <c r="E1" s="3">
        <v>1922</v>
      </c>
      <c r="F1" s="3">
        <v>1924</v>
      </c>
      <c r="G1" s="3">
        <v>1927</v>
      </c>
      <c r="H1" s="3">
        <v>1929</v>
      </c>
      <c r="K1" s="3">
        <v>1917</v>
      </c>
      <c r="L1" s="3">
        <v>1919</v>
      </c>
      <c r="M1" s="3">
        <v>1922</v>
      </c>
      <c r="N1" s="3">
        <v>1924</v>
      </c>
      <c r="O1" s="3">
        <v>1927</v>
      </c>
      <c r="P1" s="3">
        <v>1929</v>
      </c>
      <c r="Q1" s="3"/>
    </row>
    <row r="2" spans="1:18" ht="16" x14ac:dyDescent="0.2">
      <c r="A2" s="1" t="s">
        <v>119</v>
      </c>
      <c r="B2" s="16" t="s">
        <v>1165</v>
      </c>
      <c r="C2" s="1">
        <v>44.8</v>
      </c>
      <c r="D2" s="1">
        <v>38</v>
      </c>
      <c r="E2" s="1">
        <v>25.1</v>
      </c>
      <c r="F2" s="1">
        <v>29</v>
      </c>
      <c r="G2" s="1">
        <v>28.3</v>
      </c>
      <c r="H2" s="1">
        <v>27.4</v>
      </c>
      <c r="K2" s="1">
        <v>44.8</v>
      </c>
      <c r="L2" s="1">
        <f>(D2*0.1)+D2</f>
        <v>41.8</v>
      </c>
      <c r="M2" s="1">
        <f>(E2*0.25)+E2</f>
        <v>31.375</v>
      </c>
      <c r="N2" s="1">
        <f>(F2*0.35)+F2</f>
        <v>39.15</v>
      </c>
      <c r="O2" s="1">
        <f>(G2*0.5)+G2</f>
        <v>42.45</v>
      </c>
      <c r="P2" s="1">
        <f>(H2*0.6)+H2</f>
        <v>43.839999999999996</v>
      </c>
    </row>
    <row r="3" spans="1:18" ht="16" x14ac:dyDescent="0.2">
      <c r="A3" s="1" t="s">
        <v>216</v>
      </c>
      <c r="B3" s="16" t="s">
        <v>1179</v>
      </c>
      <c r="C3" s="1">
        <v>12.4</v>
      </c>
      <c r="D3" s="1">
        <v>19.7</v>
      </c>
      <c r="E3" s="1">
        <v>20.3</v>
      </c>
      <c r="F3" s="1">
        <v>20.2</v>
      </c>
      <c r="G3" s="1">
        <v>22.6</v>
      </c>
      <c r="H3" s="1">
        <v>26.2</v>
      </c>
      <c r="K3" s="1">
        <v>12.4</v>
      </c>
      <c r="L3" s="1">
        <f t="shared" ref="L3:L4" si="0">(D3*0.1)+D3</f>
        <v>21.669999999999998</v>
      </c>
      <c r="M3" s="1">
        <f t="shared" ref="M3:M4" si="1">(E3*0.25)+E3</f>
        <v>25.375</v>
      </c>
      <c r="N3" s="1">
        <f t="shared" ref="N3:N4" si="2">(F3*0.35)+F3</f>
        <v>27.27</v>
      </c>
      <c r="O3" s="1">
        <f t="shared" ref="O3:O4" si="3">(G3*0.5)+G3</f>
        <v>33.900000000000006</v>
      </c>
      <c r="P3" s="1">
        <f t="shared" ref="P3:P4" si="4">(H3*0.6)+H3</f>
        <v>41.92</v>
      </c>
    </row>
    <row r="4" spans="1:18" ht="16" x14ac:dyDescent="0.2">
      <c r="A4" s="1" t="s">
        <v>219</v>
      </c>
      <c r="B4" s="16" t="s">
        <v>1180</v>
      </c>
      <c r="C4" s="1">
        <v>10.9</v>
      </c>
      <c r="D4" s="1">
        <v>12.1</v>
      </c>
      <c r="E4" s="1">
        <v>12.4</v>
      </c>
      <c r="F4" s="1">
        <v>12</v>
      </c>
      <c r="G4" s="1">
        <v>12.2</v>
      </c>
      <c r="H4" s="1">
        <v>11.4</v>
      </c>
      <c r="K4" s="1">
        <v>10.9</v>
      </c>
      <c r="L4" s="1">
        <f t="shared" si="0"/>
        <v>13.309999999999999</v>
      </c>
      <c r="M4" s="1">
        <f t="shared" si="1"/>
        <v>15.5</v>
      </c>
      <c r="N4" s="1">
        <f t="shared" si="2"/>
        <v>16.2</v>
      </c>
      <c r="O4" s="1">
        <f t="shared" si="3"/>
        <v>18.299999999999997</v>
      </c>
      <c r="P4" s="1">
        <f t="shared" si="4"/>
        <v>18.240000000000002</v>
      </c>
    </row>
    <row r="5" spans="1:18" ht="16" x14ac:dyDescent="0.2">
      <c r="A5" s="1" t="s">
        <v>508</v>
      </c>
      <c r="B5" s="16" t="s">
        <v>1168</v>
      </c>
      <c r="C5" s="1">
        <v>30.8</v>
      </c>
      <c r="D5" s="1">
        <v>15.7</v>
      </c>
      <c r="E5" s="1">
        <v>18.2</v>
      </c>
      <c r="F5" s="1">
        <v>19</v>
      </c>
      <c r="G5" s="1">
        <v>17.7</v>
      </c>
      <c r="H5" s="1">
        <v>14.5</v>
      </c>
      <c r="K5" s="1">
        <v>30.8</v>
      </c>
      <c r="L5" s="1">
        <v>15.7</v>
      </c>
      <c r="M5" s="1">
        <f>(E5*0.15)+E5</f>
        <v>20.93</v>
      </c>
      <c r="N5" s="1">
        <f>(F5*0.25)+F5</f>
        <v>23.75</v>
      </c>
      <c r="O5" s="1">
        <f>(G5*0.4)+G5</f>
        <v>24.78</v>
      </c>
      <c r="P5" s="1">
        <f>(H5*0.5)+H5</f>
        <v>21.75</v>
      </c>
    </row>
    <row r="6" spans="1:18" ht="16" x14ac:dyDescent="0.2">
      <c r="A6" s="1" t="s">
        <v>1177</v>
      </c>
      <c r="B6" s="16" t="s">
        <v>1170</v>
      </c>
      <c r="C6" s="1"/>
      <c r="D6" s="1">
        <v>12.8</v>
      </c>
      <c r="E6" s="1">
        <v>9.1999999999999993</v>
      </c>
      <c r="F6" s="1">
        <v>9.1</v>
      </c>
      <c r="G6" s="1">
        <v>6.8</v>
      </c>
      <c r="H6" s="1">
        <v>5.6</v>
      </c>
      <c r="K6" s="1"/>
      <c r="L6" s="1">
        <v>12.8</v>
      </c>
      <c r="M6" s="1">
        <f>(E6*0.15)+E6</f>
        <v>10.579999999999998</v>
      </c>
      <c r="N6" s="1">
        <f>(F6*0.25)+F6</f>
        <v>11.375</v>
      </c>
      <c r="O6" s="1">
        <f>(G6*0.4)+G6</f>
        <v>9.52</v>
      </c>
      <c r="P6" s="1">
        <f>(H6*0.5)+H6</f>
        <v>8.3999999999999986</v>
      </c>
    </row>
    <row r="7" spans="1:18" ht="16" x14ac:dyDescent="0.2">
      <c r="A7" s="1" t="s">
        <v>1178</v>
      </c>
      <c r="B7" s="16" t="s">
        <v>1181</v>
      </c>
      <c r="C7" s="1"/>
      <c r="D7" s="1"/>
      <c r="E7" s="1">
        <v>14.8</v>
      </c>
      <c r="F7" s="1">
        <v>10.4</v>
      </c>
      <c r="G7" s="1">
        <v>12.1</v>
      </c>
      <c r="H7" s="1">
        <v>13.5</v>
      </c>
      <c r="K7" s="1"/>
      <c r="L7" s="1"/>
      <c r="M7" s="1">
        <v>14.8</v>
      </c>
      <c r="N7" s="1">
        <f>(F7*0.1)+F7</f>
        <v>11.440000000000001</v>
      </c>
      <c r="O7" s="1">
        <f>(G7*0.25)+G7</f>
        <v>15.125</v>
      </c>
      <c r="P7" s="1">
        <f>(H7*0.35)+H7</f>
        <v>18.225000000000001</v>
      </c>
      <c r="R7" s="4"/>
    </row>
    <row r="8" spans="1:18" x14ac:dyDescent="0.2">
      <c r="J8" s="3" t="s">
        <v>14</v>
      </c>
      <c r="K8" s="1">
        <f t="shared" ref="K8:P8" si="5">SUM(K2:K7)</f>
        <v>98.899999999999991</v>
      </c>
      <c r="L8" s="1">
        <f t="shared" si="5"/>
        <v>105.28</v>
      </c>
      <c r="M8" s="1">
        <f t="shared" si="5"/>
        <v>118.56</v>
      </c>
      <c r="N8" s="1">
        <f t="shared" si="5"/>
        <v>129.185</v>
      </c>
      <c r="O8" s="1">
        <f t="shared" si="5"/>
        <v>144.07500000000002</v>
      </c>
      <c r="P8" s="1">
        <f t="shared" si="5"/>
        <v>152.375</v>
      </c>
      <c r="Q8" s="1"/>
      <c r="R8" s="5"/>
    </row>
    <row r="10" spans="1:18" x14ac:dyDescent="0.2">
      <c r="K10" s="1">
        <v>100</v>
      </c>
      <c r="L10" s="1">
        <v>110</v>
      </c>
      <c r="M10" s="1">
        <v>125</v>
      </c>
      <c r="N10" s="1">
        <v>135</v>
      </c>
      <c r="O10" s="1">
        <v>150</v>
      </c>
      <c r="P10" s="1">
        <v>160</v>
      </c>
      <c r="Q10" s="1"/>
    </row>
    <row r="12" spans="1:18" x14ac:dyDescent="0.2">
      <c r="K12" s="1">
        <f>K8</f>
        <v>98.899999999999991</v>
      </c>
      <c r="L12" s="1">
        <f>SUM(K12+L8)</f>
        <v>204.18</v>
      </c>
      <c r="M12" s="1">
        <f>SUM(L12+M8)</f>
        <v>322.74</v>
      </c>
      <c r="N12" s="1">
        <f>SUM(M12+N8)</f>
        <v>451.92500000000001</v>
      </c>
      <c r="O12" s="1">
        <f>SUM(N12+O8)</f>
        <v>596</v>
      </c>
      <c r="P12" s="1">
        <f>SUM(O12+P8)</f>
        <v>748.375</v>
      </c>
    </row>
    <row r="13" spans="1:18" x14ac:dyDescent="0.2">
      <c r="K13" s="3"/>
      <c r="L13" s="3"/>
      <c r="M13" s="3"/>
      <c r="N13" s="3"/>
    </row>
    <row r="14" spans="1:18" x14ac:dyDescent="0.2">
      <c r="K14" s="1">
        <v>100</v>
      </c>
      <c r="L14" s="1">
        <f>SUM(K14+L10)</f>
        <v>210</v>
      </c>
      <c r="M14" s="1">
        <f>SUM(L14+M10)</f>
        <v>335</v>
      </c>
      <c r="N14" s="1">
        <f>SUM(M14+N10)</f>
        <v>470</v>
      </c>
      <c r="O14" s="1">
        <f>SUM(N14+O10)</f>
        <v>620</v>
      </c>
      <c r="P14" s="1">
        <f>SUM(O14+P10)</f>
        <v>780</v>
      </c>
    </row>
    <row r="16" spans="1:18" ht="16" x14ac:dyDescent="0.2">
      <c r="A16" s="1"/>
      <c r="B16" s="1"/>
      <c r="C16" s="16"/>
      <c r="K16" s="4" t="s">
        <v>1563</v>
      </c>
      <c r="L16" s="4" t="s">
        <v>1563</v>
      </c>
      <c r="M16" s="4" t="s">
        <v>1563</v>
      </c>
      <c r="N16" s="4" t="s">
        <v>1563</v>
      </c>
      <c r="O16" s="4" t="s">
        <v>1563</v>
      </c>
      <c r="P16" s="4" t="s">
        <v>1563</v>
      </c>
    </row>
    <row r="17" spans="1:16" ht="16" x14ac:dyDescent="0.2">
      <c r="A17" s="1"/>
      <c r="B17" s="1"/>
      <c r="C17" s="16"/>
      <c r="K17" s="6">
        <f t="shared" ref="K17:P17" si="6">(K12/K14)*100</f>
        <v>98.899999999999991</v>
      </c>
      <c r="L17" s="6">
        <f t="shared" si="6"/>
        <v>97.228571428571428</v>
      </c>
      <c r="M17" s="6">
        <f t="shared" si="6"/>
        <v>96.340298507462691</v>
      </c>
      <c r="N17" s="6">
        <f t="shared" si="6"/>
        <v>96.154255319148945</v>
      </c>
      <c r="O17" s="6">
        <f t="shared" si="6"/>
        <v>96.129032258064512</v>
      </c>
      <c r="P17" s="6">
        <f t="shared" si="6"/>
        <v>95.945512820512818</v>
      </c>
    </row>
    <row r="18" spans="1:16" ht="16" x14ac:dyDescent="0.2">
      <c r="A18" s="1"/>
      <c r="B18" s="1"/>
      <c r="C18" s="16"/>
    </row>
    <row r="19" spans="1:16" ht="16" x14ac:dyDescent="0.2">
      <c r="A19" s="1"/>
      <c r="B19" s="1"/>
      <c r="C19" s="16"/>
    </row>
    <row r="20" spans="1:16" ht="16" x14ac:dyDescent="0.2">
      <c r="A20" s="1"/>
      <c r="B20" s="1"/>
      <c r="C20" s="16"/>
    </row>
    <row r="21" spans="1:16" ht="16" x14ac:dyDescent="0.2">
      <c r="A21" s="1"/>
      <c r="B21" s="1"/>
      <c r="C21" s="16"/>
      <c r="D21" s="16"/>
    </row>
    <row r="22" spans="1:16" ht="16" x14ac:dyDescent="0.2">
      <c r="A22" s="1"/>
      <c r="B22" s="1"/>
      <c r="C22" s="16"/>
      <c r="D22" s="16"/>
    </row>
    <row r="23" spans="1:16" ht="16" x14ac:dyDescent="0.2">
      <c r="A23" s="1"/>
      <c r="B23" s="1"/>
      <c r="C23" s="16"/>
      <c r="D23" s="16"/>
    </row>
  </sheetData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37"/>
  <sheetViews>
    <sheetView topLeftCell="AG1" workbookViewId="0">
      <selection activeCell="Z25" sqref="Z25:AU25"/>
    </sheetView>
  </sheetViews>
  <sheetFormatPr baseColWidth="10" defaultRowHeight="15" x14ac:dyDescent="0.2"/>
  <cols>
    <col min="2" max="2" width="46.5" customWidth="1"/>
  </cols>
  <sheetData>
    <row r="1" spans="1:47" ht="16" x14ac:dyDescent="0.2">
      <c r="A1" s="3" t="s">
        <v>15</v>
      </c>
      <c r="B1" s="24" t="s">
        <v>681</v>
      </c>
      <c r="C1" s="3">
        <v>1945</v>
      </c>
      <c r="D1" s="3">
        <v>1948</v>
      </c>
      <c r="E1" s="3">
        <v>1951</v>
      </c>
      <c r="F1" s="3">
        <v>1954</v>
      </c>
      <c r="G1" s="3">
        <v>1958</v>
      </c>
      <c r="H1" s="3">
        <v>1962</v>
      </c>
      <c r="I1" s="3">
        <v>1966</v>
      </c>
      <c r="J1" s="3">
        <v>1970</v>
      </c>
      <c r="K1" s="3">
        <v>1972</v>
      </c>
      <c r="L1" s="3">
        <v>1975</v>
      </c>
      <c r="M1" s="3">
        <v>1979</v>
      </c>
      <c r="N1" s="3">
        <v>1983</v>
      </c>
      <c r="O1" s="3">
        <v>1987</v>
      </c>
      <c r="P1" s="3">
        <v>1991</v>
      </c>
      <c r="Q1" s="3">
        <v>1995</v>
      </c>
      <c r="R1" s="3">
        <v>1999</v>
      </c>
      <c r="S1" s="3">
        <v>2003</v>
      </c>
      <c r="T1" s="3">
        <v>2007</v>
      </c>
      <c r="U1" s="3">
        <v>2011</v>
      </c>
      <c r="V1" s="3">
        <v>2015</v>
      </c>
      <c r="W1" s="3">
        <v>2019</v>
      </c>
      <c r="X1" s="3">
        <v>2023</v>
      </c>
      <c r="Y1" s="3"/>
      <c r="Z1" s="3">
        <v>1945</v>
      </c>
      <c r="AA1" s="3">
        <v>1948</v>
      </c>
      <c r="AB1" s="3">
        <v>1951</v>
      </c>
      <c r="AC1" s="3">
        <v>1954</v>
      </c>
      <c r="AD1" s="3">
        <v>1958</v>
      </c>
      <c r="AE1" s="3">
        <v>1962</v>
      </c>
      <c r="AF1" s="3">
        <v>1966</v>
      </c>
      <c r="AG1" s="3">
        <v>1970</v>
      </c>
      <c r="AH1" s="3">
        <v>1972</v>
      </c>
      <c r="AI1" s="3">
        <v>1975</v>
      </c>
      <c r="AJ1" s="3">
        <v>1979</v>
      </c>
      <c r="AK1" s="3">
        <v>1983</v>
      </c>
      <c r="AL1" s="3">
        <v>1987</v>
      </c>
      <c r="AM1" s="3">
        <v>1991</v>
      </c>
      <c r="AN1" s="3">
        <v>1995</v>
      </c>
      <c r="AO1" s="3">
        <v>1999</v>
      </c>
      <c r="AP1" s="3">
        <v>2003</v>
      </c>
      <c r="AQ1" s="3">
        <v>2007</v>
      </c>
      <c r="AR1" s="3">
        <v>2011</v>
      </c>
      <c r="AS1" s="3">
        <v>2015</v>
      </c>
      <c r="AT1" s="3">
        <v>2019</v>
      </c>
      <c r="AU1" s="3">
        <v>2023</v>
      </c>
    </row>
    <row r="2" spans="1:47" ht="16" x14ac:dyDescent="0.2">
      <c r="A2" s="1" t="s">
        <v>119</v>
      </c>
      <c r="B2" s="16" t="s">
        <v>1165</v>
      </c>
      <c r="C2" s="1">
        <v>25.1</v>
      </c>
      <c r="D2" s="1">
        <v>26.3</v>
      </c>
      <c r="E2" s="1">
        <v>26.5</v>
      </c>
      <c r="F2" s="1">
        <v>26.2</v>
      </c>
      <c r="G2" s="1">
        <v>23.1</v>
      </c>
      <c r="H2" s="1">
        <v>19.5</v>
      </c>
      <c r="I2" s="1">
        <v>27.2</v>
      </c>
      <c r="J2" s="1">
        <v>23.4</v>
      </c>
      <c r="K2" s="1">
        <v>25.8</v>
      </c>
      <c r="L2" s="1">
        <v>24.9</v>
      </c>
      <c r="M2" s="1">
        <v>23.9</v>
      </c>
      <c r="N2" s="1">
        <v>26.7</v>
      </c>
      <c r="O2" s="1">
        <v>24.1</v>
      </c>
      <c r="P2" s="1">
        <v>22.1</v>
      </c>
      <c r="Q2" s="1">
        <v>28.3</v>
      </c>
      <c r="R2" s="1">
        <v>22.9</v>
      </c>
      <c r="S2" s="1">
        <v>24.5</v>
      </c>
      <c r="T2" s="1">
        <v>21.4</v>
      </c>
      <c r="U2" s="1">
        <v>19.100000000000001</v>
      </c>
      <c r="V2" s="1">
        <v>16.5</v>
      </c>
      <c r="W2" s="1">
        <v>17.7</v>
      </c>
      <c r="X2" s="1">
        <v>20</v>
      </c>
      <c r="Y2" s="1"/>
      <c r="Z2" s="1">
        <v>25.1</v>
      </c>
      <c r="AA2" s="1">
        <f>(D2*0.15)+D2</f>
        <v>30.245000000000001</v>
      </c>
      <c r="AB2" s="1">
        <f>(E2*0.3)+E2</f>
        <v>34.450000000000003</v>
      </c>
      <c r="AC2" s="1">
        <f>(F2*0.45)+F2</f>
        <v>37.989999999999995</v>
      </c>
      <c r="AD2" s="1">
        <f>(G2*0.65)+G2</f>
        <v>38.115000000000002</v>
      </c>
      <c r="AE2" s="1">
        <f>(H2*0.85)+H2</f>
        <v>36.075000000000003</v>
      </c>
      <c r="AF2" s="1">
        <f>(I2*1.05)+I2</f>
        <v>55.76</v>
      </c>
      <c r="AG2" s="1">
        <f>(J2*1.25)+J2</f>
        <v>52.65</v>
      </c>
      <c r="AH2" s="1">
        <f>(K2*1.35)+K2</f>
        <v>60.63000000000001</v>
      </c>
      <c r="AI2" s="1">
        <f>(L2*1.5)+L2</f>
        <v>62.249999999999993</v>
      </c>
      <c r="AJ2" s="1">
        <f>(M2*1.7)+M2</f>
        <v>64.53</v>
      </c>
      <c r="AK2" s="1">
        <f>(N2*1.9)+N2</f>
        <v>77.429999999999993</v>
      </c>
      <c r="AL2" s="1">
        <f>(O2*2.1)+O2</f>
        <v>74.710000000000008</v>
      </c>
      <c r="AM2" s="1">
        <f>(P2*2.3)+P2</f>
        <v>72.930000000000007</v>
      </c>
      <c r="AN2" s="1">
        <f>(Q2*2.5)+Q2</f>
        <v>99.05</v>
      </c>
      <c r="AO2" s="1">
        <f>(R2*2.7)+R2</f>
        <v>84.72999999999999</v>
      </c>
      <c r="AP2" s="1">
        <f>(S2*2.9)+S2</f>
        <v>95.55</v>
      </c>
      <c r="AQ2" s="1">
        <f>(T2*3.1)+T2</f>
        <v>87.740000000000009</v>
      </c>
      <c r="AR2" s="1">
        <f>(U2*3.3)+U2</f>
        <v>82.13</v>
      </c>
      <c r="AS2" s="1">
        <f>(V2*3.5)+V2</f>
        <v>74.25</v>
      </c>
      <c r="AT2" s="1">
        <f>(W2*3.7)+W2</f>
        <v>83.19</v>
      </c>
      <c r="AU2" s="1">
        <f>(X2*3.85)+X2</f>
        <v>97</v>
      </c>
    </row>
    <row r="3" spans="1:47" ht="16" x14ac:dyDescent="0.2">
      <c r="A3" s="1" t="s">
        <v>264</v>
      </c>
      <c r="B3" s="16" t="s">
        <v>1166</v>
      </c>
      <c r="C3" s="1">
        <v>23.5</v>
      </c>
      <c r="D3" s="1">
        <v>20</v>
      </c>
      <c r="E3" s="1">
        <v>21.6</v>
      </c>
      <c r="F3" s="1">
        <v>21.6</v>
      </c>
      <c r="G3" s="1">
        <v>23.2</v>
      </c>
      <c r="H3" s="1">
        <v>22</v>
      </c>
      <c r="I3" s="1">
        <v>21.1</v>
      </c>
      <c r="J3" s="1">
        <v>16.600000000000001</v>
      </c>
      <c r="K3" s="1">
        <v>17</v>
      </c>
      <c r="L3" s="1">
        <v>18.899999999999999</v>
      </c>
      <c r="M3" s="1">
        <v>17.899999999999999</v>
      </c>
      <c r="N3" s="1">
        <v>13.5</v>
      </c>
      <c r="O3" s="1">
        <v>9.4</v>
      </c>
      <c r="Y3" s="1"/>
      <c r="Z3" s="1">
        <v>23.5</v>
      </c>
      <c r="AA3" s="1">
        <f t="shared" ref="AA3:AA7" si="0">(D3*0.15)+D3</f>
        <v>23</v>
      </c>
      <c r="AB3" s="1">
        <f t="shared" ref="AB3:AB6" si="1">(E3*0.3)+E3</f>
        <v>28.080000000000002</v>
      </c>
      <c r="AC3" s="1">
        <f t="shared" ref="AC3:AC6" si="2">(F3*0.45)+F3</f>
        <v>31.32</v>
      </c>
      <c r="AD3" s="1">
        <f t="shared" ref="AD3:AD6" si="3">(G3*0.65)+G3</f>
        <v>38.28</v>
      </c>
      <c r="AE3" s="1">
        <f t="shared" ref="AE3:AE6" si="4">(H3*0.85)+H3</f>
        <v>40.700000000000003</v>
      </c>
      <c r="AF3" s="1">
        <f t="shared" ref="AF3:AF6" si="5">(I3*1.05)+I3</f>
        <v>43.255000000000003</v>
      </c>
      <c r="AG3" s="1">
        <f t="shared" ref="AG3:AG6" si="6">(J3*1.25)+J3</f>
        <v>37.35</v>
      </c>
      <c r="AH3" s="1">
        <f t="shared" ref="AH3:AH6" si="7">(K3*1.35)+K3</f>
        <v>39.950000000000003</v>
      </c>
      <c r="AI3" s="1">
        <f t="shared" ref="AI3:AI6" si="8">(L3*1.5)+L3</f>
        <v>47.25</v>
      </c>
      <c r="AJ3" s="1">
        <f t="shared" ref="AJ3:AJ6" si="9">(M3*1.7)+M3</f>
        <v>48.33</v>
      </c>
      <c r="AK3" s="1">
        <f t="shared" ref="AK3:AK6" si="10">(N3*1.9)+N3</f>
        <v>39.15</v>
      </c>
      <c r="AL3" s="1">
        <f t="shared" ref="AL3:AL6" si="11">(O3*2.1)+O3</f>
        <v>29.14</v>
      </c>
      <c r="AM3" s="1"/>
      <c r="AN3" s="1"/>
      <c r="AO3" s="1"/>
      <c r="AP3" s="1"/>
      <c r="AQ3" s="1"/>
      <c r="AR3" s="1"/>
      <c r="AS3" s="1"/>
      <c r="AU3" s="1"/>
    </row>
    <row r="4" spans="1:47" ht="16" x14ac:dyDescent="0.2">
      <c r="A4" s="1" t="s">
        <v>1164</v>
      </c>
      <c r="B4" s="16" t="s">
        <v>1167</v>
      </c>
      <c r="C4" s="1">
        <v>21.4</v>
      </c>
      <c r="D4" s="1">
        <v>24.2</v>
      </c>
      <c r="E4" s="1">
        <v>23.3</v>
      </c>
      <c r="F4" s="1">
        <v>24.1</v>
      </c>
      <c r="G4" s="1">
        <v>23.1</v>
      </c>
      <c r="H4" s="1">
        <v>23</v>
      </c>
      <c r="I4" s="1">
        <v>21.2</v>
      </c>
      <c r="J4" s="1">
        <v>17.100000000000001</v>
      </c>
      <c r="K4" s="1">
        <v>16.399999999999999</v>
      </c>
      <c r="L4" s="1">
        <v>17.600000000000001</v>
      </c>
      <c r="M4" s="1">
        <v>17.3</v>
      </c>
      <c r="N4" s="1">
        <v>17.600000000000001</v>
      </c>
      <c r="O4" s="1">
        <v>17.600000000000001</v>
      </c>
      <c r="P4" s="1">
        <v>24.8</v>
      </c>
      <c r="Q4" s="1">
        <v>19.8</v>
      </c>
      <c r="R4" s="1">
        <v>22.4</v>
      </c>
      <c r="S4" s="1">
        <v>24.7</v>
      </c>
      <c r="T4" s="1">
        <v>23.1</v>
      </c>
      <c r="U4" s="1">
        <v>15.8</v>
      </c>
      <c r="V4" s="1">
        <v>21.1</v>
      </c>
      <c r="W4" s="1">
        <v>13.8</v>
      </c>
      <c r="X4" s="1">
        <v>11.3</v>
      </c>
      <c r="Y4" s="1"/>
      <c r="Z4" s="1">
        <v>21.4</v>
      </c>
      <c r="AA4" s="1">
        <f t="shared" si="0"/>
        <v>27.83</v>
      </c>
      <c r="AB4" s="1">
        <f t="shared" si="1"/>
        <v>30.29</v>
      </c>
      <c r="AC4" s="1">
        <f t="shared" si="2"/>
        <v>34.945</v>
      </c>
      <c r="AD4" s="1">
        <f t="shared" si="3"/>
        <v>38.115000000000002</v>
      </c>
      <c r="AE4" s="1">
        <f t="shared" si="4"/>
        <v>42.55</v>
      </c>
      <c r="AF4" s="1">
        <f t="shared" si="5"/>
        <v>43.46</v>
      </c>
      <c r="AG4" s="1">
        <f t="shared" si="6"/>
        <v>38.475000000000001</v>
      </c>
      <c r="AH4" s="1">
        <f t="shared" si="7"/>
        <v>38.54</v>
      </c>
      <c r="AI4" s="1">
        <f t="shared" si="8"/>
        <v>44</v>
      </c>
      <c r="AJ4" s="1">
        <f t="shared" si="9"/>
        <v>46.71</v>
      </c>
      <c r="AK4" s="1">
        <f t="shared" si="10"/>
        <v>51.04</v>
      </c>
      <c r="AL4" s="1">
        <f t="shared" si="11"/>
        <v>54.560000000000009</v>
      </c>
      <c r="AM4" s="1">
        <f t="shared" ref="AM4:AM6" si="12">(P4*2.3)+P4</f>
        <v>81.84</v>
      </c>
      <c r="AN4" s="1">
        <f t="shared" ref="AN4:AN6" si="13">(Q4*2.5)+Q4</f>
        <v>69.3</v>
      </c>
      <c r="AO4" s="1">
        <f t="shared" ref="AO4:AO6" si="14">(R4*2.7)+R4</f>
        <v>82.88</v>
      </c>
      <c r="AP4" s="1">
        <f t="shared" ref="AP4:AP6" si="15">(S4*2.9)+S4</f>
        <v>96.33</v>
      </c>
      <c r="AQ4" s="1">
        <f t="shared" ref="AQ4:AQ6" si="16">(T4*3.1)+T4</f>
        <v>94.710000000000008</v>
      </c>
      <c r="AR4" s="1">
        <f t="shared" ref="AR4:AR6" si="17">(U4*3.3)+U4</f>
        <v>67.94</v>
      </c>
      <c r="AS4" s="1">
        <f t="shared" ref="AS4:AS6" si="18">(V4*3.5)+V4</f>
        <v>94.950000000000017</v>
      </c>
      <c r="AT4" s="1">
        <f>(W4*3.7)+W4</f>
        <v>64.86</v>
      </c>
      <c r="AU4" s="1">
        <f t="shared" ref="AU4:AU6" si="19">(X4*3.85)+X4</f>
        <v>54.805000000000007</v>
      </c>
    </row>
    <row r="5" spans="1:47" ht="16" x14ac:dyDescent="0.2">
      <c r="A5" s="1" t="s">
        <v>217</v>
      </c>
      <c r="B5" s="16" t="s">
        <v>1168</v>
      </c>
      <c r="C5" s="1">
        <v>15</v>
      </c>
      <c r="D5" s="1">
        <v>17</v>
      </c>
      <c r="E5" s="1">
        <v>14.6</v>
      </c>
      <c r="F5" s="1">
        <v>12.8</v>
      </c>
      <c r="G5" s="1">
        <v>15.3</v>
      </c>
      <c r="H5" s="1">
        <v>15.1</v>
      </c>
      <c r="I5" s="1">
        <v>13.8</v>
      </c>
      <c r="J5" s="1">
        <v>18</v>
      </c>
      <c r="K5" s="1">
        <v>17.600000000000001</v>
      </c>
      <c r="L5" s="1">
        <v>18.399999999999999</v>
      </c>
      <c r="M5" s="1">
        <v>21.7</v>
      </c>
      <c r="N5" s="1">
        <v>22.1</v>
      </c>
      <c r="O5" s="1">
        <v>23.1</v>
      </c>
      <c r="P5" s="1">
        <v>19.3</v>
      </c>
      <c r="Q5" s="1">
        <v>17.899999999999999</v>
      </c>
      <c r="R5" s="1">
        <v>21</v>
      </c>
      <c r="S5" s="1">
        <v>18.600000000000001</v>
      </c>
      <c r="T5" s="1">
        <v>22.3</v>
      </c>
      <c r="U5" s="1">
        <v>20.399999999999999</v>
      </c>
      <c r="V5" s="1">
        <v>18.2</v>
      </c>
      <c r="W5" s="1">
        <v>17</v>
      </c>
      <c r="X5" s="1">
        <v>20.8</v>
      </c>
      <c r="Y5" s="1"/>
      <c r="Z5" s="1">
        <v>15</v>
      </c>
      <c r="AA5" s="1">
        <f t="shared" si="0"/>
        <v>19.55</v>
      </c>
      <c r="AB5" s="1">
        <f t="shared" si="1"/>
        <v>18.98</v>
      </c>
      <c r="AC5" s="1">
        <f t="shared" si="2"/>
        <v>18.560000000000002</v>
      </c>
      <c r="AD5" s="1">
        <f t="shared" si="3"/>
        <v>25.245000000000001</v>
      </c>
      <c r="AE5" s="1">
        <f t="shared" si="4"/>
        <v>27.934999999999999</v>
      </c>
      <c r="AF5" s="1">
        <f t="shared" si="5"/>
        <v>28.290000000000003</v>
      </c>
      <c r="AG5" s="1">
        <f t="shared" si="6"/>
        <v>40.5</v>
      </c>
      <c r="AH5" s="1">
        <f t="shared" si="7"/>
        <v>41.360000000000007</v>
      </c>
      <c r="AI5" s="1">
        <f t="shared" si="8"/>
        <v>46</v>
      </c>
      <c r="AJ5" s="1">
        <f t="shared" si="9"/>
        <v>58.59</v>
      </c>
      <c r="AK5" s="1">
        <f t="shared" si="10"/>
        <v>64.09</v>
      </c>
      <c r="AL5" s="1">
        <f t="shared" si="11"/>
        <v>71.610000000000014</v>
      </c>
      <c r="AM5" s="1">
        <f t="shared" si="12"/>
        <v>63.69</v>
      </c>
      <c r="AN5" s="1">
        <f t="shared" si="13"/>
        <v>62.65</v>
      </c>
      <c r="AO5" s="1">
        <f t="shared" si="14"/>
        <v>77.7</v>
      </c>
      <c r="AP5" s="1">
        <f t="shared" si="15"/>
        <v>72.540000000000006</v>
      </c>
      <c r="AQ5" s="1">
        <f t="shared" si="16"/>
        <v>91.43</v>
      </c>
      <c r="AR5" s="1">
        <f t="shared" si="17"/>
        <v>87.72</v>
      </c>
      <c r="AS5" s="1">
        <f t="shared" si="18"/>
        <v>81.899999999999991</v>
      </c>
      <c r="AT5" s="1">
        <f t="shared" ref="AT5:AT6" si="20">(W5*3.7)+W5</f>
        <v>79.900000000000006</v>
      </c>
      <c r="AU5" s="1">
        <f t="shared" si="19"/>
        <v>100.88</v>
      </c>
    </row>
    <row r="6" spans="1:47" ht="16" x14ac:dyDescent="0.2">
      <c r="A6" s="1" t="s">
        <v>219</v>
      </c>
      <c r="B6" s="16" t="s">
        <v>1169</v>
      </c>
      <c r="C6" s="1">
        <v>7.9</v>
      </c>
      <c r="D6" s="1">
        <v>7.3</v>
      </c>
      <c r="E6" s="1">
        <v>7.3</v>
      </c>
      <c r="F6" s="1">
        <v>6.8</v>
      </c>
      <c r="G6" s="1">
        <v>6.5</v>
      </c>
      <c r="H6" s="1">
        <v>6.1</v>
      </c>
      <c r="I6" s="1">
        <v>5.7</v>
      </c>
      <c r="J6" s="1">
        <v>5.3</v>
      </c>
      <c r="K6" s="1">
        <v>5.0999999999999996</v>
      </c>
      <c r="L6" s="1">
        <v>4.7</v>
      </c>
      <c r="M6" s="1">
        <v>4.2</v>
      </c>
      <c r="N6" s="1">
        <v>4.5999999999999996</v>
      </c>
      <c r="O6" s="1">
        <v>5.3</v>
      </c>
      <c r="P6" s="1">
        <v>5.5</v>
      </c>
      <c r="Q6" s="1">
        <v>5.0999999999999996</v>
      </c>
      <c r="R6" s="1">
        <v>5.0999999999999996</v>
      </c>
      <c r="S6" s="1">
        <v>4.5999999999999996</v>
      </c>
      <c r="T6" s="1">
        <v>4.5999999999999996</v>
      </c>
      <c r="U6" s="1">
        <v>4.3</v>
      </c>
      <c r="V6" s="1">
        <v>4.9000000000000004</v>
      </c>
      <c r="W6" s="1">
        <v>4.5</v>
      </c>
      <c r="X6" s="1">
        <v>4.3</v>
      </c>
      <c r="Y6" s="1"/>
      <c r="Z6" s="1">
        <v>7.9</v>
      </c>
      <c r="AA6" s="1">
        <f t="shared" si="0"/>
        <v>8.3949999999999996</v>
      </c>
      <c r="AB6" s="1">
        <f t="shared" si="1"/>
        <v>9.49</v>
      </c>
      <c r="AC6" s="1">
        <f t="shared" si="2"/>
        <v>9.86</v>
      </c>
      <c r="AD6" s="1">
        <f t="shared" si="3"/>
        <v>10.725000000000001</v>
      </c>
      <c r="AE6" s="1">
        <f t="shared" si="4"/>
        <v>11.285</v>
      </c>
      <c r="AF6" s="1">
        <f t="shared" si="5"/>
        <v>11.685</v>
      </c>
      <c r="AG6" s="1">
        <f t="shared" si="6"/>
        <v>11.925000000000001</v>
      </c>
      <c r="AH6" s="1">
        <f t="shared" si="7"/>
        <v>11.984999999999999</v>
      </c>
      <c r="AI6" s="1">
        <f t="shared" si="8"/>
        <v>11.75</v>
      </c>
      <c r="AJ6" s="1">
        <f t="shared" si="9"/>
        <v>11.34</v>
      </c>
      <c r="AK6" s="1">
        <f t="shared" si="10"/>
        <v>13.339999999999998</v>
      </c>
      <c r="AL6" s="1">
        <f t="shared" si="11"/>
        <v>16.43</v>
      </c>
      <c r="AM6" s="1">
        <f t="shared" si="12"/>
        <v>18.149999999999999</v>
      </c>
      <c r="AN6" s="1">
        <f t="shared" si="13"/>
        <v>17.850000000000001</v>
      </c>
      <c r="AO6" s="1">
        <f t="shared" si="14"/>
        <v>18.869999999999997</v>
      </c>
      <c r="AP6" s="1">
        <f t="shared" si="15"/>
        <v>17.939999999999998</v>
      </c>
      <c r="AQ6" s="1">
        <f t="shared" si="16"/>
        <v>18.86</v>
      </c>
      <c r="AR6" s="1">
        <f t="shared" si="17"/>
        <v>18.489999999999998</v>
      </c>
      <c r="AS6" s="1">
        <f t="shared" si="18"/>
        <v>22.050000000000004</v>
      </c>
      <c r="AT6" s="1">
        <f t="shared" si="20"/>
        <v>21.150000000000002</v>
      </c>
      <c r="AU6" s="1">
        <f t="shared" si="19"/>
        <v>20.855</v>
      </c>
    </row>
    <row r="7" spans="1:47" ht="16" x14ac:dyDescent="0.2">
      <c r="A7" s="1" t="s">
        <v>218</v>
      </c>
      <c r="B7" s="16" t="s">
        <v>1170</v>
      </c>
      <c r="C7" s="1">
        <v>5.2</v>
      </c>
      <c r="D7" s="1">
        <v>3.9</v>
      </c>
      <c r="Y7" s="1"/>
      <c r="Z7" s="1">
        <v>5.2</v>
      </c>
      <c r="AA7" s="1">
        <f t="shared" si="0"/>
        <v>4.4849999999999994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U7" s="1"/>
    </row>
    <row r="8" spans="1:47" ht="16" x14ac:dyDescent="0.2">
      <c r="A8" s="1" t="s">
        <v>265</v>
      </c>
      <c r="B8" s="16" t="s">
        <v>1171</v>
      </c>
      <c r="C8" s="1"/>
      <c r="D8" s="1"/>
      <c r="E8" s="1">
        <v>5.7</v>
      </c>
      <c r="F8" s="1">
        <v>7.9</v>
      </c>
      <c r="G8" s="1">
        <v>5.9</v>
      </c>
      <c r="H8" s="1">
        <v>6.3</v>
      </c>
      <c r="Y8" s="1"/>
      <c r="Z8" s="1"/>
      <c r="AA8" s="1"/>
      <c r="AB8" s="1">
        <v>5.7</v>
      </c>
      <c r="AC8" s="1">
        <f>(F8*0.15)+F8</f>
        <v>9.0850000000000009</v>
      </c>
      <c r="AD8" s="1">
        <f>(G8*0.35)+G8</f>
        <v>7.9649999999999999</v>
      </c>
      <c r="AE8" s="1">
        <f>(H8*0.55)+H8</f>
        <v>9.7650000000000006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U8" s="1"/>
    </row>
    <row r="9" spans="1:47" ht="16" x14ac:dyDescent="0.2">
      <c r="A9" s="1" t="s">
        <v>266</v>
      </c>
      <c r="B9" s="16" t="s">
        <v>1172</v>
      </c>
      <c r="G9" s="1">
        <v>1.7</v>
      </c>
      <c r="H9" s="1">
        <v>4.4000000000000004</v>
      </c>
      <c r="I9" s="1">
        <v>2.6</v>
      </c>
      <c r="J9" s="1">
        <v>1.4</v>
      </c>
      <c r="K9" s="1">
        <v>1</v>
      </c>
      <c r="Y9" s="1"/>
      <c r="Z9" s="1"/>
      <c r="AA9" s="1"/>
      <c r="AB9" s="1"/>
      <c r="AC9" s="1"/>
      <c r="AD9" s="1">
        <v>1.7</v>
      </c>
      <c r="AE9" s="1">
        <f>(H9*0.2)+H9</f>
        <v>5.28</v>
      </c>
      <c r="AF9" s="1">
        <f>(I9*0.4)+I9</f>
        <v>3.64</v>
      </c>
      <c r="AG9" s="1">
        <f>(J9*0.6)+J9</f>
        <v>2.2399999999999998</v>
      </c>
      <c r="AH9" s="1">
        <f>(K9*0.7)+K9</f>
        <v>1.7</v>
      </c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U9" s="1"/>
    </row>
    <row r="10" spans="1:47" ht="16" x14ac:dyDescent="0.2">
      <c r="A10" s="1" t="s">
        <v>251</v>
      </c>
      <c r="B10" s="16" t="s">
        <v>769</v>
      </c>
      <c r="G10" s="1">
        <v>0.2</v>
      </c>
      <c r="H10" s="1"/>
      <c r="I10" s="1">
        <v>0.4</v>
      </c>
      <c r="J10" s="1">
        <v>1.1000000000000001</v>
      </c>
      <c r="K10" s="1">
        <v>2.5</v>
      </c>
      <c r="L10" s="1">
        <v>3.6</v>
      </c>
      <c r="M10" s="1">
        <v>4.8</v>
      </c>
      <c r="N10" s="1">
        <v>3</v>
      </c>
      <c r="O10" s="1">
        <v>2.6</v>
      </c>
      <c r="P10" s="1">
        <v>3.1</v>
      </c>
      <c r="Q10" s="1">
        <v>3</v>
      </c>
      <c r="R10" s="1">
        <v>4.2</v>
      </c>
      <c r="S10" s="1">
        <v>5.3</v>
      </c>
      <c r="T10" s="1">
        <v>4.9000000000000004</v>
      </c>
      <c r="U10" s="1">
        <v>4</v>
      </c>
      <c r="V10" s="1">
        <v>3.5</v>
      </c>
      <c r="W10" s="1">
        <v>3.9</v>
      </c>
      <c r="X10" s="1">
        <v>4.2</v>
      </c>
      <c r="Y10" s="1"/>
      <c r="Z10" s="1"/>
      <c r="AA10" s="1"/>
      <c r="AB10" s="1"/>
      <c r="AC10" s="1"/>
      <c r="AD10" s="1">
        <v>0.2</v>
      </c>
      <c r="AE10" s="1"/>
      <c r="AF10" s="1">
        <f>(I10*0.4)+I10</f>
        <v>0.56000000000000005</v>
      </c>
      <c r="AG10" s="1">
        <f>(J10*0.6)+J10</f>
        <v>1.7600000000000002</v>
      </c>
      <c r="AH10" s="1">
        <f>(K10*0.5)+K10</f>
        <v>3.75</v>
      </c>
      <c r="AI10" s="1">
        <f>(L10*0.65)+L10</f>
        <v>5.94</v>
      </c>
      <c r="AJ10" s="1">
        <f>(M10*0.85)+M10</f>
        <v>8.879999999999999</v>
      </c>
      <c r="AK10" s="1">
        <f>(N10*1.05)+N10</f>
        <v>6.15</v>
      </c>
      <c r="AL10" s="1">
        <f>(O10*1.25)+O10</f>
        <v>5.85</v>
      </c>
      <c r="AM10" s="1">
        <f>(P10*1.45)+P10</f>
        <v>7.5950000000000006</v>
      </c>
      <c r="AN10" s="1">
        <f>(Q10*1.65)+Q10</f>
        <v>7.9499999999999993</v>
      </c>
      <c r="AO10" s="1">
        <f>(R10*1.85)+R10</f>
        <v>11.97</v>
      </c>
      <c r="AP10" s="1">
        <f>(S10*2.05)+S10</f>
        <v>16.164999999999999</v>
      </c>
      <c r="AQ10" s="1">
        <f>(T10*2.25)+T10</f>
        <v>15.925000000000001</v>
      </c>
      <c r="AR10" s="1">
        <f>(U10*2.35)+U10</f>
        <v>13.4</v>
      </c>
      <c r="AS10" s="1">
        <f>(V10*2.55)+V10</f>
        <v>12.424999999999999</v>
      </c>
      <c r="AT10" s="1">
        <f>(W10*2.75)+W10</f>
        <v>14.625</v>
      </c>
      <c r="AU10" s="1">
        <f>(X10*2.9)+X10</f>
        <v>16.38</v>
      </c>
    </row>
    <row r="11" spans="1:47" ht="16" x14ac:dyDescent="0.2">
      <c r="A11" s="1" t="s">
        <v>268</v>
      </c>
      <c r="B11" s="16" t="s">
        <v>1173</v>
      </c>
      <c r="G11" s="1"/>
      <c r="H11" s="1">
        <v>2.2000000000000002</v>
      </c>
      <c r="I11" s="1">
        <v>1</v>
      </c>
      <c r="J11" s="1">
        <v>10.5</v>
      </c>
      <c r="K11" s="1">
        <v>9.1999999999999993</v>
      </c>
      <c r="L11" s="1">
        <v>3.6</v>
      </c>
      <c r="M11" s="1">
        <v>4.5999999999999996</v>
      </c>
      <c r="N11" s="1">
        <v>9.6999999999999993</v>
      </c>
      <c r="O11" s="1">
        <v>6.3</v>
      </c>
      <c r="P11" s="1">
        <v>4.8</v>
      </c>
      <c r="Q11" s="1">
        <v>1.3</v>
      </c>
      <c r="Y11" s="1"/>
      <c r="Z11" s="1"/>
      <c r="AA11" s="1"/>
      <c r="AB11" s="1"/>
      <c r="AC11" s="1"/>
      <c r="AD11" s="1"/>
      <c r="AE11" s="1">
        <v>2.2000000000000002</v>
      </c>
      <c r="AF11" s="1">
        <f>(I11*0.2)+I11</f>
        <v>1.2</v>
      </c>
      <c r="AG11" s="1">
        <f>(J11*0.4)+J11</f>
        <v>14.7</v>
      </c>
      <c r="AH11" s="1">
        <f>(K11*0.5)+K11</f>
        <v>13.799999999999999</v>
      </c>
      <c r="AI11" s="1">
        <f>(L11*0.65)+L11</f>
        <v>5.94</v>
      </c>
      <c r="AJ11" s="1">
        <f>(M11*0.85)+M11</f>
        <v>8.51</v>
      </c>
      <c r="AK11" s="1">
        <f>(N11*1.05)+N11</f>
        <v>19.884999999999998</v>
      </c>
      <c r="AL11" s="1">
        <f>(O11*1.25)+O11</f>
        <v>14.175000000000001</v>
      </c>
      <c r="AM11" s="1">
        <f>(P11*1.45)+P11</f>
        <v>11.76</v>
      </c>
      <c r="AN11" s="1">
        <f>(Q11*1.65)+Q11</f>
        <v>3.4450000000000003</v>
      </c>
      <c r="AO11" s="1"/>
      <c r="AP11" s="1"/>
      <c r="AQ11" s="1"/>
      <c r="AR11" s="1"/>
      <c r="AS11" s="1"/>
      <c r="AT11" s="1"/>
      <c r="AU11" s="1"/>
    </row>
    <row r="12" spans="1:47" ht="16" x14ac:dyDescent="0.2">
      <c r="A12" s="1" t="s">
        <v>267</v>
      </c>
      <c r="B12" s="16" t="s">
        <v>903</v>
      </c>
      <c r="I12" s="1">
        <v>6.5</v>
      </c>
      <c r="J12" s="1">
        <v>6</v>
      </c>
      <c r="K12" s="1">
        <v>5.2</v>
      </c>
      <c r="L12" s="1">
        <v>4.3</v>
      </c>
      <c r="M12" s="1">
        <v>3.7</v>
      </c>
      <c r="O12" s="3">
        <v>1</v>
      </c>
      <c r="P12" s="1">
        <v>0.8</v>
      </c>
      <c r="Q12" s="1">
        <v>0.6</v>
      </c>
      <c r="R12" s="1"/>
      <c r="S12" s="1">
        <v>0.3</v>
      </c>
      <c r="T12" s="1">
        <v>0.1</v>
      </c>
      <c r="Y12" s="1"/>
      <c r="Z12" s="1"/>
      <c r="AA12" s="1"/>
      <c r="AB12" s="1"/>
      <c r="AC12" s="1"/>
      <c r="AD12" s="1"/>
      <c r="AE12" s="1"/>
      <c r="AF12" s="1">
        <v>6.5</v>
      </c>
      <c r="AG12" s="1">
        <f>(J12*0.2)+J12</f>
        <v>7.2</v>
      </c>
      <c r="AH12" s="1">
        <f>(K12*0.3)+K12</f>
        <v>6.76</v>
      </c>
      <c r="AI12" s="1">
        <f>(L12*0.45)+L12</f>
        <v>6.2349999999999994</v>
      </c>
      <c r="AJ12" s="1">
        <f>(M12*0.65)+M12</f>
        <v>6.1050000000000004</v>
      </c>
      <c r="AK12" s="1"/>
      <c r="AL12" s="1">
        <f>(O12*1.05)+O12</f>
        <v>2.0499999999999998</v>
      </c>
      <c r="AM12" s="1">
        <f>(P12*1.25)+P12</f>
        <v>1.8</v>
      </c>
      <c r="AN12" s="1">
        <f>(Q12*1.45)+Q12</f>
        <v>1.47</v>
      </c>
      <c r="AO12" s="1"/>
      <c r="AP12" s="1">
        <f>(S12*1.85)+S12</f>
        <v>0.85499999999999998</v>
      </c>
      <c r="AQ12" s="1">
        <f>(T12*2.05)+T12</f>
        <v>0.30499999999999999</v>
      </c>
      <c r="AR12" s="1"/>
      <c r="AS12" s="1"/>
      <c r="AU12" s="1"/>
    </row>
    <row r="13" spans="1:47" ht="16" x14ac:dyDescent="0.2">
      <c r="A13" s="1" t="s">
        <v>510</v>
      </c>
      <c r="B13" s="16" t="s">
        <v>1174</v>
      </c>
      <c r="I13" s="1"/>
      <c r="J13" s="1"/>
      <c r="K13" s="1"/>
      <c r="N13" s="1">
        <v>1.5</v>
      </c>
      <c r="O13" s="1">
        <v>4</v>
      </c>
      <c r="P13" s="1">
        <v>6.8</v>
      </c>
      <c r="Q13" s="1">
        <v>6.5</v>
      </c>
      <c r="R13" s="1">
        <v>7.3</v>
      </c>
      <c r="S13" s="1">
        <v>8</v>
      </c>
      <c r="T13" s="1">
        <v>8.5</v>
      </c>
      <c r="U13" s="1">
        <v>7.3</v>
      </c>
      <c r="V13" s="1">
        <v>8.5</v>
      </c>
      <c r="W13" s="1">
        <v>11.5</v>
      </c>
      <c r="X13" s="1">
        <v>7</v>
      </c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>
        <v>1.5</v>
      </c>
      <c r="AL13" s="1">
        <f>(O13*0.2)+O13</f>
        <v>4.8</v>
      </c>
      <c r="AM13" s="1">
        <f>(P13*0.4)+P13</f>
        <v>9.52</v>
      </c>
      <c r="AN13" s="1">
        <f>(Q13*0.6)+Q13</f>
        <v>10.4</v>
      </c>
      <c r="AO13" s="1">
        <f>(R13*0.8)+R13</f>
        <v>13.14</v>
      </c>
      <c r="AP13" s="1">
        <f>(S13*1)+S13</f>
        <v>16</v>
      </c>
      <c r="AQ13" s="1">
        <f>(T13*1.2)+T13</f>
        <v>18.7</v>
      </c>
      <c r="AR13" s="1">
        <f>(U13*1.4)+U13</f>
        <v>17.52</v>
      </c>
      <c r="AS13" s="1">
        <f>(V13*1.6)+V13</f>
        <v>22.1</v>
      </c>
      <c r="AT13" s="1">
        <f>(W13*1.8)+W13</f>
        <v>32.200000000000003</v>
      </c>
      <c r="AU13" s="1">
        <f>(X13*1.95)+X13</f>
        <v>20.65</v>
      </c>
    </row>
    <row r="14" spans="1:47" ht="16" x14ac:dyDescent="0.2">
      <c r="A14" s="1" t="s">
        <v>362</v>
      </c>
      <c r="B14" s="16" t="s">
        <v>955</v>
      </c>
      <c r="I14" s="1"/>
      <c r="J14" s="1"/>
      <c r="K14" s="1"/>
      <c r="N14" s="1"/>
      <c r="O14" s="1">
        <v>4.2</v>
      </c>
      <c r="P14" s="1"/>
      <c r="Q14" s="1"/>
      <c r="R14" s="1"/>
      <c r="S14" s="1"/>
      <c r="T14" s="1"/>
      <c r="U14" s="1"/>
      <c r="V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>
        <v>4.2</v>
      </c>
      <c r="AM14" s="1"/>
      <c r="AN14" s="1"/>
      <c r="AO14" s="1"/>
      <c r="AP14" s="1"/>
      <c r="AQ14" s="1"/>
      <c r="AR14" s="1"/>
      <c r="AS14" s="1"/>
      <c r="AU14" s="1"/>
    </row>
    <row r="15" spans="1:47" ht="16" x14ac:dyDescent="0.2">
      <c r="A15" s="1" t="s">
        <v>142</v>
      </c>
      <c r="B15" s="16" t="s">
        <v>1175</v>
      </c>
      <c r="I15" s="1"/>
      <c r="J15" s="1"/>
      <c r="K15" s="1"/>
      <c r="N15" s="1"/>
      <c r="O15" s="1"/>
      <c r="P15" s="1">
        <v>10.1</v>
      </c>
      <c r="Q15" s="1">
        <v>11.2</v>
      </c>
      <c r="R15" s="1">
        <v>10.9</v>
      </c>
      <c r="S15" s="1">
        <v>9.9</v>
      </c>
      <c r="T15" s="1">
        <v>8.8000000000000007</v>
      </c>
      <c r="U15" s="1">
        <v>8.1</v>
      </c>
      <c r="V15" s="1">
        <v>7.1</v>
      </c>
      <c r="W15" s="1">
        <v>8.1999999999999993</v>
      </c>
      <c r="X15" s="1">
        <v>7.1</v>
      </c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>
        <v>10.1</v>
      </c>
      <c r="AN15" s="1">
        <f>(Q15*0.2)+Q15</f>
        <v>13.44</v>
      </c>
      <c r="AO15" s="1">
        <f t="shared" ref="AO15" si="21">(R15*0.4)+R15</f>
        <v>15.260000000000002</v>
      </c>
      <c r="AP15" s="1">
        <f>(S15*0.6)+S15</f>
        <v>15.84</v>
      </c>
      <c r="AQ15" s="1">
        <f>(T15*0.8)+T15</f>
        <v>15.840000000000002</v>
      </c>
      <c r="AR15" s="1">
        <f>(U15*1)+U15</f>
        <v>16.2</v>
      </c>
      <c r="AS15" s="1">
        <f>(V15*1.2)+V15</f>
        <v>15.62</v>
      </c>
      <c r="AT15" s="1">
        <f>(W15*1.4)+W15</f>
        <v>19.68</v>
      </c>
      <c r="AU15" s="1">
        <f>(X15*1.55)+X15</f>
        <v>18.104999999999997</v>
      </c>
    </row>
    <row r="16" spans="1:47" ht="16" x14ac:dyDescent="0.2">
      <c r="A16" s="1" t="s">
        <v>19</v>
      </c>
      <c r="B16" s="16" t="s">
        <v>1176</v>
      </c>
      <c r="I16" s="1"/>
      <c r="J16" s="1"/>
      <c r="K16" s="1"/>
      <c r="N16" s="1"/>
      <c r="O16" s="1"/>
      <c r="P16" s="1"/>
      <c r="Q16" s="1"/>
      <c r="R16" s="1">
        <v>1</v>
      </c>
      <c r="S16" s="1">
        <v>1.6</v>
      </c>
      <c r="T16" s="1">
        <v>4.0999999999999996</v>
      </c>
      <c r="U16" s="1">
        <v>19.100000000000001</v>
      </c>
      <c r="V16" s="1">
        <v>17.600000000000001</v>
      </c>
      <c r="W16" s="1">
        <v>17.5</v>
      </c>
      <c r="X16" s="1">
        <v>20.100000000000001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>
        <v>1</v>
      </c>
      <c r="AP16" s="1">
        <f>(S16*0.2)+S16</f>
        <v>1.9200000000000002</v>
      </c>
      <c r="AQ16" s="1">
        <f>(T16*0.4)+T16</f>
        <v>5.7399999999999993</v>
      </c>
      <c r="AR16" s="1">
        <f t="shared" ref="AR16" si="22">(U16*0.6)+U16</f>
        <v>30.560000000000002</v>
      </c>
      <c r="AS16" s="1">
        <f>(V16*0.8)+V16</f>
        <v>31.680000000000003</v>
      </c>
      <c r="AT16" s="1">
        <f>(W16*1)+W16</f>
        <v>35</v>
      </c>
      <c r="AU16" s="1">
        <f>(X16*1.15)+X16</f>
        <v>43.215000000000003</v>
      </c>
    </row>
    <row r="17" spans="1:47" x14ac:dyDescent="0.2">
      <c r="Y17" s="3" t="s">
        <v>14</v>
      </c>
      <c r="Z17" s="1">
        <f t="shared" ref="Z17:AU17" si="23">SUM(Z2:Z16)</f>
        <v>98.100000000000009</v>
      </c>
      <c r="AA17" s="1">
        <f t="shared" si="23"/>
        <v>113.505</v>
      </c>
      <c r="AB17" s="1">
        <f t="shared" si="23"/>
        <v>126.99</v>
      </c>
      <c r="AC17" s="1">
        <f t="shared" si="23"/>
        <v>141.76000000000002</v>
      </c>
      <c r="AD17" s="1">
        <f t="shared" si="23"/>
        <v>160.345</v>
      </c>
      <c r="AE17" s="1">
        <f t="shared" si="23"/>
        <v>175.79</v>
      </c>
      <c r="AF17" s="1">
        <f t="shared" si="23"/>
        <v>194.34999999999997</v>
      </c>
      <c r="AG17" s="1">
        <f t="shared" si="23"/>
        <v>206.79999999999998</v>
      </c>
      <c r="AH17" s="1">
        <f t="shared" si="23"/>
        <v>218.47500000000002</v>
      </c>
      <c r="AI17" s="1">
        <f t="shared" si="23"/>
        <v>229.36500000000001</v>
      </c>
      <c r="AJ17" s="1">
        <f t="shared" si="23"/>
        <v>252.99499999999998</v>
      </c>
      <c r="AK17" s="1">
        <f t="shared" si="23"/>
        <v>272.58499999999998</v>
      </c>
      <c r="AL17" s="1">
        <f t="shared" si="23"/>
        <v>277.52500000000003</v>
      </c>
      <c r="AM17" s="1">
        <f t="shared" si="23"/>
        <v>277.38499999999999</v>
      </c>
      <c r="AN17" s="1">
        <f t="shared" si="23"/>
        <v>285.55500000000001</v>
      </c>
      <c r="AO17" s="1">
        <f t="shared" si="23"/>
        <v>305.55</v>
      </c>
      <c r="AP17" s="1">
        <f t="shared" si="23"/>
        <v>333.14000000000004</v>
      </c>
      <c r="AQ17" s="1">
        <f t="shared" si="23"/>
        <v>349.25</v>
      </c>
      <c r="AR17" s="1">
        <f t="shared" si="23"/>
        <v>333.95999999999992</v>
      </c>
      <c r="AS17" s="1">
        <f t="shared" si="23"/>
        <v>354.97500000000008</v>
      </c>
      <c r="AT17" s="1">
        <f t="shared" si="23"/>
        <v>350.60500000000002</v>
      </c>
      <c r="AU17" s="1">
        <f t="shared" si="23"/>
        <v>371.89</v>
      </c>
    </row>
    <row r="19" spans="1:47" x14ac:dyDescent="0.2">
      <c r="Z19" s="1">
        <v>100</v>
      </c>
      <c r="AA19" s="1">
        <v>115</v>
      </c>
      <c r="AB19" s="1">
        <v>130</v>
      </c>
      <c r="AC19" s="1">
        <v>145</v>
      </c>
      <c r="AD19" s="1">
        <v>165</v>
      </c>
      <c r="AE19" s="1">
        <v>185</v>
      </c>
      <c r="AF19" s="1">
        <v>205</v>
      </c>
      <c r="AG19" s="1">
        <v>225</v>
      </c>
      <c r="AH19" s="1">
        <v>235</v>
      </c>
      <c r="AI19" s="1">
        <v>250</v>
      </c>
      <c r="AJ19" s="1">
        <v>270</v>
      </c>
      <c r="AK19" s="1">
        <v>290</v>
      </c>
      <c r="AL19" s="1">
        <v>310</v>
      </c>
      <c r="AM19" s="1">
        <v>330</v>
      </c>
      <c r="AN19" s="1">
        <v>350</v>
      </c>
      <c r="AO19" s="1">
        <v>370</v>
      </c>
      <c r="AP19" s="1">
        <v>390</v>
      </c>
      <c r="AQ19" s="1">
        <v>410</v>
      </c>
      <c r="AR19" s="1">
        <v>430</v>
      </c>
      <c r="AS19" s="1">
        <v>450</v>
      </c>
      <c r="AT19" s="1">
        <v>470</v>
      </c>
      <c r="AU19" s="1">
        <v>485</v>
      </c>
    </row>
    <row r="20" spans="1:47" x14ac:dyDescent="0.2">
      <c r="AI20" s="1"/>
    </row>
    <row r="21" spans="1:47" x14ac:dyDescent="0.2">
      <c r="Z21" s="1">
        <f>Z17</f>
        <v>98.100000000000009</v>
      </c>
      <c r="AA21" s="1">
        <f>SUM(Z21+AA17)</f>
        <v>211.60500000000002</v>
      </c>
      <c r="AB21" s="1">
        <f>SUM(AA21+AB17)</f>
        <v>338.59500000000003</v>
      </c>
      <c r="AC21" s="1">
        <f>SUM(AB21+AC17)</f>
        <v>480.35500000000002</v>
      </c>
      <c r="AD21" s="1">
        <f>SUM(AC21+AD17)</f>
        <v>640.70000000000005</v>
      </c>
      <c r="AE21" s="1">
        <f>SUM(AD21+AE17)</f>
        <v>816.49</v>
      </c>
      <c r="AF21" s="1">
        <f t="shared" ref="AF21:AU21" si="24">SUM(AE21+AF17)</f>
        <v>1010.8399999999999</v>
      </c>
      <c r="AG21" s="1">
        <f t="shared" si="24"/>
        <v>1217.6399999999999</v>
      </c>
      <c r="AH21" s="1">
        <f t="shared" si="24"/>
        <v>1436.1149999999998</v>
      </c>
      <c r="AI21" s="1">
        <f t="shared" si="24"/>
        <v>1665.4799999999998</v>
      </c>
      <c r="AJ21" s="1">
        <f t="shared" si="24"/>
        <v>1918.4749999999997</v>
      </c>
      <c r="AK21" s="1">
        <f t="shared" si="24"/>
        <v>2191.0599999999995</v>
      </c>
      <c r="AL21" s="1">
        <f t="shared" si="24"/>
        <v>2468.5849999999996</v>
      </c>
      <c r="AM21" s="1">
        <f t="shared" si="24"/>
        <v>2745.9699999999993</v>
      </c>
      <c r="AN21" s="1">
        <f t="shared" si="24"/>
        <v>3031.5249999999992</v>
      </c>
      <c r="AO21" s="1">
        <f t="shared" si="24"/>
        <v>3337.0749999999994</v>
      </c>
      <c r="AP21" s="1">
        <f t="shared" si="24"/>
        <v>3670.2149999999992</v>
      </c>
      <c r="AQ21" s="1">
        <f t="shared" si="24"/>
        <v>4019.4649999999992</v>
      </c>
      <c r="AR21" s="1">
        <f t="shared" si="24"/>
        <v>4353.4249999999993</v>
      </c>
      <c r="AS21" s="1">
        <f t="shared" si="24"/>
        <v>4708.3999999999996</v>
      </c>
      <c r="AT21" s="1">
        <f t="shared" si="24"/>
        <v>5059.0049999999992</v>
      </c>
      <c r="AU21" s="1">
        <f t="shared" si="24"/>
        <v>5430.8949999999995</v>
      </c>
    </row>
    <row r="22" spans="1:47" x14ac:dyDescent="0.2">
      <c r="Z22" s="3"/>
      <c r="AA22" s="3"/>
      <c r="AB22" s="3"/>
      <c r="AC22" s="3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7" ht="16" x14ac:dyDescent="0.2">
      <c r="A23" s="16"/>
      <c r="B23" s="16"/>
      <c r="C23" s="22"/>
      <c r="D23" s="16"/>
      <c r="H23" s="1"/>
      <c r="I23" s="7"/>
      <c r="Z23" s="1">
        <v>100</v>
      </c>
      <c r="AA23" s="1">
        <f>SUM(Z23+AA19)</f>
        <v>215</v>
      </c>
      <c r="AB23" s="1">
        <f>SUM(AA23+AB19)</f>
        <v>345</v>
      </c>
      <c r="AC23" s="1">
        <f>SUM(AB23+AC19)</f>
        <v>490</v>
      </c>
      <c r="AD23" s="1">
        <f>SUM(AC23+AD19)</f>
        <v>655</v>
      </c>
      <c r="AE23" s="1">
        <f>SUM(AD23+AE19)</f>
        <v>840</v>
      </c>
      <c r="AF23" s="1">
        <f t="shared" ref="AF23:AU23" si="25">SUM(AE23+AF19)</f>
        <v>1045</v>
      </c>
      <c r="AG23" s="1">
        <f t="shared" si="25"/>
        <v>1270</v>
      </c>
      <c r="AH23" s="1">
        <f t="shared" si="25"/>
        <v>1505</v>
      </c>
      <c r="AI23" s="1">
        <f t="shared" si="25"/>
        <v>1755</v>
      </c>
      <c r="AJ23" s="1">
        <f t="shared" si="25"/>
        <v>2025</v>
      </c>
      <c r="AK23" s="1">
        <f t="shared" si="25"/>
        <v>2315</v>
      </c>
      <c r="AL23" s="1">
        <f t="shared" si="25"/>
        <v>2625</v>
      </c>
      <c r="AM23" s="1">
        <f t="shared" si="25"/>
        <v>2955</v>
      </c>
      <c r="AN23" s="1">
        <f t="shared" si="25"/>
        <v>3305</v>
      </c>
      <c r="AO23" s="1">
        <f t="shared" si="25"/>
        <v>3675</v>
      </c>
      <c r="AP23" s="1">
        <f t="shared" si="25"/>
        <v>4065</v>
      </c>
      <c r="AQ23" s="1">
        <f t="shared" si="25"/>
        <v>4475</v>
      </c>
      <c r="AR23" s="1">
        <f t="shared" si="25"/>
        <v>4905</v>
      </c>
      <c r="AS23" s="1">
        <f t="shared" si="25"/>
        <v>5355</v>
      </c>
      <c r="AT23" s="1">
        <f t="shared" si="25"/>
        <v>5825</v>
      </c>
      <c r="AU23" s="1">
        <f t="shared" si="25"/>
        <v>6310</v>
      </c>
    </row>
    <row r="24" spans="1:47" ht="16" x14ac:dyDescent="0.2">
      <c r="A24" s="16"/>
      <c r="B24" s="16"/>
      <c r="C24" s="22"/>
      <c r="D24" s="16"/>
      <c r="H24" s="1"/>
      <c r="I24" s="7"/>
    </row>
    <row r="25" spans="1:47" ht="16" x14ac:dyDescent="0.2">
      <c r="A25" s="16"/>
      <c r="B25" s="16"/>
      <c r="C25" s="22"/>
      <c r="D25" s="16"/>
      <c r="H25" s="1"/>
      <c r="I25" s="7"/>
      <c r="Z25" s="4" t="s">
        <v>1563</v>
      </c>
      <c r="AA25" s="4" t="s">
        <v>1563</v>
      </c>
      <c r="AB25" s="4" t="s">
        <v>1563</v>
      </c>
      <c r="AC25" s="4" t="s">
        <v>1563</v>
      </c>
      <c r="AD25" s="4" t="s">
        <v>1563</v>
      </c>
      <c r="AE25" s="4" t="s">
        <v>1563</v>
      </c>
      <c r="AF25" s="4" t="s">
        <v>1563</v>
      </c>
      <c r="AG25" s="4" t="s">
        <v>1563</v>
      </c>
      <c r="AH25" s="4" t="s">
        <v>1563</v>
      </c>
      <c r="AI25" s="4" t="s">
        <v>1563</v>
      </c>
      <c r="AJ25" s="4" t="s">
        <v>1563</v>
      </c>
      <c r="AK25" s="4" t="s">
        <v>1563</v>
      </c>
      <c r="AL25" s="4" t="s">
        <v>1563</v>
      </c>
      <c r="AM25" s="4" t="s">
        <v>1563</v>
      </c>
      <c r="AN25" s="4" t="s">
        <v>1563</v>
      </c>
      <c r="AO25" s="4" t="s">
        <v>1563</v>
      </c>
      <c r="AP25" s="4" t="s">
        <v>1563</v>
      </c>
      <c r="AQ25" s="4" t="s">
        <v>1563</v>
      </c>
      <c r="AR25" s="4" t="s">
        <v>1563</v>
      </c>
      <c r="AS25" s="4" t="s">
        <v>1563</v>
      </c>
      <c r="AT25" s="4" t="s">
        <v>1563</v>
      </c>
      <c r="AU25" s="4" t="s">
        <v>1563</v>
      </c>
    </row>
    <row r="26" spans="1:47" ht="16" x14ac:dyDescent="0.2">
      <c r="A26" s="16"/>
      <c r="B26" s="16"/>
      <c r="C26" s="22"/>
      <c r="D26" s="16"/>
      <c r="H26" s="1"/>
      <c r="I26" s="7"/>
      <c r="Z26" s="6">
        <f t="shared" ref="Z26:AE26" si="26">(Z21/Z23)*100</f>
        <v>98.100000000000009</v>
      </c>
      <c r="AA26" s="6">
        <f t="shared" si="26"/>
        <v>98.420930232558149</v>
      </c>
      <c r="AB26" s="6">
        <f t="shared" si="26"/>
        <v>98.143478260869571</v>
      </c>
      <c r="AC26" s="6">
        <f t="shared" si="26"/>
        <v>98.031632653061223</v>
      </c>
      <c r="AD26" s="6">
        <f t="shared" si="26"/>
        <v>97.816793893129784</v>
      </c>
      <c r="AE26" s="36">
        <f t="shared" si="26"/>
        <v>97.201190476190476</v>
      </c>
      <c r="AF26" s="36">
        <f t="shared" ref="AF26:AU26" si="27">(AF21/AF23)*100</f>
        <v>96.731100478468889</v>
      </c>
      <c r="AG26" s="36">
        <f t="shared" si="27"/>
        <v>95.8771653543307</v>
      </c>
      <c r="AH26" s="36">
        <f t="shared" si="27"/>
        <v>95.422923588039851</v>
      </c>
      <c r="AI26" s="36">
        <f t="shared" si="27"/>
        <v>94.899145299145289</v>
      </c>
      <c r="AJ26" s="36">
        <f t="shared" si="27"/>
        <v>94.739506172839498</v>
      </c>
      <c r="AK26" s="36">
        <f t="shared" si="27"/>
        <v>94.646220302375781</v>
      </c>
      <c r="AL26" s="36">
        <f t="shared" si="27"/>
        <v>94.041333333333327</v>
      </c>
      <c r="AM26" s="36">
        <f t="shared" si="27"/>
        <v>92.926226734348532</v>
      </c>
      <c r="AN26" s="36">
        <f t="shared" si="27"/>
        <v>91.725416036308587</v>
      </c>
      <c r="AO26" s="36">
        <f t="shared" si="27"/>
        <v>90.804761904761889</v>
      </c>
      <c r="AP26" s="36">
        <f t="shared" si="27"/>
        <v>90.288191881918806</v>
      </c>
      <c r="AQ26" s="36">
        <f t="shared" si="27"/>
        <v>89.820446927374292</v>
      </c>
      <c r="AR26" s="36">
        <f t="shared" si="27"/>
        <v>88.75484199796125</v>
      </c>
      <c r="AS26" s="36">
        <f t="shared" si="27"/>
        <v>87.925303454715205</v>
      </c>
      <c r="AT26" s="36">
        <f t="shared" si="27"/>
        <v>86.849871244635182</v>
      </c>
      <c r="AU26" s="38">
        <f t="shared" si="27"/>
        <v>86.068066561014263</v>
      </c>
    </row>
    <row r="27" spans="1:47" ht="16" x14ac:dyDescent="0.2">
      <c r="A27" s="16"/>
      <c r="B27" s="16"/>
      <c r="C27" s="22"/>
      <c r="D27" s="16"/>
      <c r="H27" s="1"/>
      <c r="I27" s="7"/>
    </row>
    <row r="28" spans="1:47" ht="16" x14ac:dyDescent="0.2">
      <c r="A28" s="16"/>
      <c r="B28" s="16"/>
      <c r="C28" s="22"/>
      <c r="D28" s="16"/>
      <c r="H28" s="1"/>
      <c r="I28" s="7"/>
    </row>
    <row r="29" spans="1:47" ht="16" x14ac:dyDescent="0.2">
      <c r="A29" s="16"/>
      <c r="B29" s="16"/>
      <c r="C29" s="22"/>
      <c r="D29" s="16"/>
      <c r="H29" s="1"/>
    </row>
    <row r="30" spans="1:47" ht="16" x14ac:dyDescent="0.2">
      <c r="A30" s="16"/>
      <c r="B30" s="16"/>
      <c r="C30" s="22"/>
      <c r="D30" s="16"/>
      <c r="H30" s="1"/>
      <c r="I30" s="7"/>
    </row>
    <row r="31" spans="1:47" ht="16" x14ac:dyDescent="0.2">
      <c r="A31" s="16"/>
      <c r="B31" s="16"/>
      <c r="C31" s="22"/>
      <c r="D31" s="16"/>
      <c r="H31" s="1"/>
      <c r="I31" s="7"/>
    </row>
    <row r="32" spans="1:47" ht="16" x14ac:dyDescent="0.2">
      <c r="A32" s="16"/>
      <c r="B32" s="16"/>
      <c r="C32" s="22"/>
      <c r="D32" s="16"/>
      <c r="H32" s="1"/>
      <c r="I32" s="7"/>
    </row>
    <row r="33" spans="1:9" ht="16" x14ac:dyDescent="0.2">
      <c r="A33" s="16"/>
      <c r="B33" s="16"/>
      <c r="C33" s="22"/>
      <c r="D33" s="16"/>
      <c r="H33" s="1"/>
      <c r="I33" s="7"/>
    </row>
    <row r="34" spans="1:9" ht="16" x14ac:dyDescent="0.2">
      <c r="A34" s="16"/>
      <c r="B34" s="16"/>
      <c r="C34" s="22"/>
      <c r="D34" s="16"/>
      <c r="H34" s="1"/>
      <c r="I34" s="7"/>
    </row>
    <row r="35" spans="1:9" ht="16" x14ac:dyDescent="0.2">
      <c r="A35" s="16"/>
      <c r="B35" s="16"/>
      <c r="C35" s="22"/>
      <c r="D35" s="16"/>
      <c r="H35" s="1"/>
      <c r="I35" s="7"/>
    </row>
    <row r="36" spans="1:9" ht="16" x14ac:dyDescent="0.2">
      <c r="A36" s="16"/>
      <c r="B36" s="16"/>
      <c r="C36" s="22"/>
      <c r="D36" s="16"/>
      <c r="H36" s="1"/>
      <c r="I36" s="7"/>
    </row>
    <row r="37" spans="1:9" ht="16" x14ac:dyDescent="0.2">
      <c r="A37" s="16"/>
      <c r="B37" s="16"/>
      <c r="C37" s="22"/>
      <c r="D37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workbookViewId="0">
      <selection activeCell="E13" sqref="E13"/>
    </sheetView>
  </sheetViews>
  <sheetFormatPr baseColWidth="10" defaultRowHeight="15" x14ac:dyDescent="0.2"/>
  <cols>
    <col min="2" max="2" width="23.83203125" customWidth="1"/>
  </cols>
  <sheetData>
    <row r="1" spans="1:5" ht="16" x14ac:dyDescent="0.2">
      <c r="A1" s="3" t="s">
        <v>15</v>
      </c>
      <c r="B1" s="24" t="s">
        <v>681</v>
      </c>
      <c r="C1" s="3">
        <v>1849</v>
      </c>
      <c r="E1" s="3">
        <v>1849</v>
      </c>
    </row>
    <row r="2" spans="1:5" ht="16" x14ac:dyDescent="0.2">
      <c r="A2" s="15" t="s">
        <v>1399</v>
      </c>
      <c r="B2" s="16" t="s">
        <v>1400</v>
      </c>
      <c r="C2" s="1">
        <v>50.2</v>
      </c>
      <c r="E2" s="1">
        <v>50.2</v>
      </c>
    </row>
    <row r="3" spans="1:5" ht="16" x14ac:dyDescent="0.2">
      <c r="A3" s="15" t="s">
        <v>1401</v>
      </c>
      <c r="B3" s="16" t="s">
        <v>1402</v>
      </c>
      <c r="C3" s="1">
        <v>29.6</v>
      </c>
      <c r="E3" s="1">
        <v>29.6</v>
      </c>
    </row>
    <row r="4" spans="1:5" ht="16" x14ac:dyDescent="0.2">
      <c r="A4" s="15" t="s">
        <v>332</v>
      </c>
      <c r="B4" s="16" t="s">
        <v>1154</v>
      </c>
      <c r="C4" s="1">
        <v>12.6</v>
      </c>
      <c r="E4" s="1">
        <v>12.6</v>
      </c>
    </row>
    <row r="5" spans="1:5" x14ac:dyDescent="0.2">
      <c r="D5" s="3" t="s">
        <v>14</v>
      </c>
      <c r="E5" s="1">
        <f>SUM(E2:E4)</f>
        <v>92.4</v>
      </c>
    </row>
    <row r="7" spans="1:5" x14ac:dyDescent="0.2">
      <c r="E7" s="1">
        <v>100</v>
      </c>
    </row>
    <row r="9" spans="1:5" x14ac:dyDescent="0.2">
      <c r="E9" s="1">
        <f>E5</f>
        <v>92.4</v>
      </c>
    </row>
    <row r="10" spans="1:5" x14ac:dyDescent="0.2">
      <c r="E10" s="3"/>
    </row>
    <row r="11" spans="1:5" x14ac:dyDescent="0.2">
      <c r="E11" s="1">
        <v>100</v>
      </c>
    </row>
    <row r="13" spans="1:5" x14ac:dyDescent="0.2">
      <c r="E13" s="4" t="s">
        <v>1563</v>
      </c>
    </row>
    <row r="14" spans="1:5" x14ac:dyDescent="0.2">
      <c r="E14" s="6">
        <f>(E9/E11)*100</f>
        <v>92.4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41"/>
  <sheetViews>
    <sheetView topLeftCell="S8" workbookViewId="0">
      <selection activeCell="U28" sqref="U28:AJ28"/>
    </sheetView>
  </sheetViews>
  <sheetFormatPr baseColWidth="10" defaultRowHeight="15" x14ac:dyDescent="0.2"/>
  <cols>
    <col min="2" max="2" width="38" customWidth="1"/>
  </cols>
  <sheetData>
    <row r="1" spans="1:36" x14ac:dyDescent="0.2">
      <c r="A1" s="3" t="s">
        <v>15</v>
      </c>
      <c r="B1" s="3" t="s">
        <v>681</v>
      </c>
      <c r="C1" s="3">
        <v>1876</v>
      </c>
      <c r="D1" s="3">
        <v>1877</v>
      </c>
      <c r="E1" s="3">
        <v>1881</v>
      </c>
      <c r="F1" s="3">
        <v>1885</v>
      </c>
      <c r="G1" s="3">
        <v>1889</v>
      </c>
      <c r="H1" s="3">
        <v>1893</v>
      </c>
      <c r="I1" s="3">
        <v>1898</v>
      </c>
      <c r="J1" s="3">
        <v>1902</v>
      </c>
      <c r="K1" s="3">
        <v>1906</v>
      </c>
      <c r="L1" s="3">
        <v>1910</v>
      </c>
      <c r="M1" s="3">
        <v>1914</v>
      </c>
      <c r="N1" s="3">
        <v>1919</v>
      </c>
      <c r="O1" s="3">
        <v>1924</v>
      </c>
      <c r="P1" s="3">
        <v>1928</v>
      </c>
      <c r="Q1" s="3">
        <v>1932</v>
      </c>
      <c r="R1" s="3">
        <v>1936</v>
      </c>
      <c r="U1" s="3">
        <v>1876</v>
      </c>
      <c r="V1" s="3">
        <v>1877</v>
      </c>
      <c r="W1" s="3">
        <v>1881</v>
      </c>
      <c r="X1" s="3">
        <v>1885</v>
      </c>
      <c r="Y1" s="3">
        <v>1889</v>
      </c>
      <c r="Z1" s="3">
        <v>1893</v>
      </c>
      <c r="AA1" s="3">
        <v>1898</v>
      </c>
      <c r="AB1" s="3">
        <v>1902</v>
      </c>
      <c r="AC1" s="3">
        <v>1906</v>
      </c>
      <c r="AD1" s="3">
        <v>1910</v>
      </c>
      <c r="AE1" s="3">
        <v>1914</v>
      </c>
      <c r="AF1" s="3">
        <v>1919</v>
      </c>
      <c r="AG1" s="3">
        <v>1924</v>
      </c>
      <c r="AH1" s="3">
        <v>1928</v>
      </c>
      <c r="AI1" s="3">
        <v>1932</v>
      </c>
      <c r="AJ1" s="3">
        <v>1936</v>
      </c>
    </row>
    <row r="2" spans="1:36" ht="16" x14ac:dyDescent="0.2">
      <c r="A2" s="21" t="s">
        <v>623</v>
      </c>
      <c r="B2" s="16" t="s">
        <v>1149</v>
      </c>
      <c r="C2" s="1">
        <v>55.7</v>
      </c>
      <c r="D2" s="1">
        <v>54.4</v>
      </c>
      <c r="E2" s="1">
        <v>74.099999999999994</v>
      </c>
      <c r="F2" s="1">
        <v>56.1</v>
      </c>
      <c r="G2" s="1">
        <v>54.6</v>
      </c>
      <c r="K2" s="1"/>
      <c r="L2" s="1"/>
      <c r="M2" s="1"/>
      <c r="N2" s="1"/>
      <c r="O2" s="1"/>
      <c r="P2" s="1"/>
      <c r="Q2" s="1"/>
      <c r="R2" s="1"/>
      <c r="U2" s="1">
        <v>55.7</v>
      </c>
      <c r="V2" s="1">
        <f>(D2*0.05)+D2</f>
        <v>57.12</v>
      </c>
      <c r="W2" s="1">
        <f>(E2*0.25)+E2</f>
        <v>92.625</v>
      </c>
      <c r="X2" s="1">
        <f>(F2*0.45)+F2</f>
        <v>81.344999999999999</v>
      </c>
      <c r="Y2" s="1">
        <f>(G2*0.65)+G2</f>
        <v>90.09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" x14ac:dyDescent="0.2">
      <c r="A3" s="21" t="s">
        <v>307</v>
      </c>
      <c r="B3" s="16" t="s">
        <v>1150</v>
      </c>
      <c r="C3" s="1">
        <v>44.3</v>
      </c>
      <c r="D3" s="1">
        <v>45.6</v>
      </c>
      <c r="E3" s="1">
        <v>25.9</v>
      </c>
      <c r="F3" s="1">
        <v>43.9</v>
      </c>
      <c r="G3" s="1">
        <v>36.5</v>
      </c>
      <c r="H3" s="1">
        <v>16.5</v>
      </c>
      <c r="I3" s="1">
        <v>12.8</v>
      </c>
      <c r="J3" s="1">
        <v>14.1</v>
      </c>
      <c r="K3" s="1">
        <v>29.2</v>
      </c>
      <c r="L3" s="1">
        <v>19</v>
      </c>
      <c r="M3" s="1">
        <v>15.4</v>
      </c>
      <c r="N3" s="1">
        <v>14</v>
      </c>
      <c r="O3" s="1">
        <v>4.2</v>
      </c>
      <c r="P3" s="1">
        <v>2.2999999999999998</v>
      </c>
      <c r="Q3" s="1">
        <v>6.1</v>
      </c>
      <c r="R3" s="1"/>
      <c r="U3" s="1">
        <v>44.3</v>
      </c>
      <c r="V3" s="1">
        <f>(D3*0.05)+D3</f>
        <v>47.88</v>
      </c>
      <c r="W3" s="1">
        <f>(E3*0.25)+E3</f>
        <v>32.375</v>
      </c>
      <c r="X3" s="1">
        <f>(F3*0.45)+F3</f>
        <v>63.655000000000001</v>
      </c>
      <c r="Y3" s="1">
        <f>(G3*0.65)+G3</f>
        <v>60.225000000000001</v>
      </c>
      <c r="Z3" s="1">
        <f>(H3*0.85)+H3</f>
        <v>30.524999999999999</v>
      </c>
      <c r="AA3" s="1">
        <f>(I3*1.1)+I3</f>
        <v>26.880000000000003</v>
      </c>
      <c r="AB3" s="1">
        <f>(J3*1.3)+J3</f>
        <v>32.43</v>
      </c>
      <c r="AC3" s="1">
        <f>(K3*1.5)+K3</f>
        <v>73</v>
      </c>
      <c r="AD3" s="1">
        <f>(L3*1.7)+L3</f>
        <v>51.3</v>
      </c>
      <c r="AE3" s="1">
        <f>(M3*1.9)+M3</f>
        <v>44.66</v>
      </c>
      <c r="AF3" s="1">
        <f>(N3*2.15)+N3</f>
        <v>44.099999999999994</v>
      </c>
      <c r="AG3" s="1">
        <f>(O3*2.4)+O3</f>
        <v>14.280000000000001</v>
      </c>
      <c r="AH3" s="1">
        <f>(P3*2.6)+P3</f>
        <v>8.2799999999999994</v>
      </c>
      <c r="AI3" s="1">
        <f>(Q3*2.8)+Q3</f>
        <v>23.18</v>
      </c>
      <c r="AJ3" s="1"/>
    </row>
    <row r="4" spans="1:36" ht="16" x14ac:dyDescent="0.2">
      <c r="A4" s="8" t="s">
        <v>333</v>
      </c>
      <c r="B4" s="16" t="s">
        <v>1151</v>
      </c>
      <c r="C4" s="1"/>
      <c r="D4" s="1"/>
      <c r="E4" s="1"/>
      <c r="F4" s="1"/>
      <c r="G4" s="1"/>
      <c r="H4" s="1">
        <v>8.3000000000000007</v>
      </c>
      <c r="I4" s="1">
        <v>11.3</v>
      </c>
      <c r="J4" s="1">
        <v>6.3</v>
      </c>
      <c r="U4" s="1"/>
      <c r="V4" s="1"/>
      <c r="W4" s="1"/>
      <c r="X4" s="1"/>
      <c r="Y4" s="1"/>
      <c r="Z4" s="1">
        <v>8.3000000000000007</v>
      </c>
      <c r="AA4" s="1">
        <f>(I4*0.25)+I4</f>
        <v>14.125</v>
      </c>
      <c r="AB4" s="1">
        <f>(J4*0.45)+J4</f>
        <v>9.1349999999999998</v>
      </c>
      <c r="AC4" s="1"/>
      <c r="AD4" s="1"/>
      <c r="AE4" s="1"/>
      <c r="AF4" s="1"/>
      <c r="AG4" s="1"/>
      <c r="AH4" s="1"/>
      <c r="AI4" s="1"/>
      <c r="AJ4" s="1"/>
    </row>
    <row r="5" spans="1:36" ht="16" x14ac:dyDescent="0.2">
      <c r="A5" s="8" t="s">
        <v>402</v>
      </c>
      <c r="B5" s="16" t="s">
        <v>1152</v>
      </c>
      <c r="C5" s="1"/>
      <c r="D5" s="1"/>
      <c r="E5" s="1"/>
      <c r="F5" s="1"/>
      <c r="G5" s="1"/>
      <c r="H5" s="1">
        <v>6.4</v>
      </c>
      <c r="I5" s="1">
        <v>6.9</v>
      </c>
      <c r="J5" s="1">
        <v>4.5999999999999996</v>
      </c>
      <c r="K5" s="1"/>
      <c r="L5" s="3">
        <v>1.8</v>
      </c>
      <c r="M5" s="1"/>
      <c r="Q5" s="1"/>
      <c r="R5" s="1"/>
      <c r="U5" s="1"/>
      <c r="V5" s="1"/>
      <c r="W5" s="1"/>
      <c r="X5" s="1"/>
      <c r="Y5" s="1"/>
      <c r="Z5" s="1">
        <v>6.4</v>
      </c>
      <c r="AA5" s="1">
        <f t="shared" ref="AA5:AA8" si="0">(I5*0.25)+I5</f>
        <v>8.625</v>
      </c>
      <c r="AB5" s="1">
        <f t="shared" ref="AB5:AB8" si="1">(J5*0.45)+J5</f>
        <v>6.67</v>
      </c>
      <c r="AC5" s="1"/>
      <c r="AD5" s="1">
        <f>(L5*0.85)+L5</f>
        <v>3.33</v>
      </c>
      <c r="AE5" s="1"/>
      <c r="AF5" s="1"/>
      <c r="AG5" s="1"/>
      <c r="AH5" s="1"/>
      <c r="AI5" s="1"/>
      <c r="AJ5" s="1"/>
    </row>
    <row r="6" spans="1:36" ht="16" x14ac:dyDescent="0.2">
      <c r="A6" s="8" t="s">
        <v>334</v>
      </c>
      <c r="B6" s="16" t="s">
        <v>1153</v>
      </c>
      <c r="C6" s="1"/>
      <c r="D6" s="1"/>
      <c r="E6" s="1"/>
      <c r="F6" s="1"/>
      <c r="G6" s="1"/>
      <c r="H6" s="1">
        <v>2.5</v>
      </c>
      <c r="I6" s="1">
        <v>9.6</v>
      </c>
      <c r="J6" s="1">
        <v>10.1</v>
      </c>
      <c r="U6" s="1"/>
      <c r="V6" s="1"/>
      <c r="W6" s="1"/>
      <c r="X6" s="1"/>
      <c r="Y6" s="1"/>
      <c r="Z6" s="1">
        <v>2.5</v>
      </c>
      <c r="AA6" s="1">
        <f t="shared" si="0"/>
        <v>12</v>
      </c>
      <c r="AB6" s="1">
        <f t="shared" si="1"/>
        <v>14.645</v>
      </c>
      <c r="AC6" s="1"/>
      <c r="AD6" s="1"/>
      <c r="AE6" s="1"/>
      <c r="AF6" s="1"/>
      <c r="AG6" s="1"/>
      <c r="AH6" s="1"/>
      <c r="AI6" s="1"/>
      <c r="AJ6" s="1"/>
    </row>
    <row r="7" spans="1:36" ht="16" x14ac:dyDescent="0.2">
      <c r="A7" s="8" t="s">
        <v>332</v>
      </c>
      <c r="B7" s="16" t="s">
        <v>1154</v>
      </c>
      <c r="C7" s="1"/>
      <c r="D7" s="1"/>
      <c r="E7" s="1"/>
      <c r="F7" s="1"/>
      <c r="G7" s="1"/>
      <c r="H7" s="1">
        <v>44.6</v>
      </c>
      <c r="I7" s="1">
        <v>41.5</v>
      </c>
      <c r="J7" s="1">
        <v>29.7</v>
      </c>
      <c r="K7" s="1"/>
      <c r="L7" s="1"/>
      <c r="M7" s="1"/>
      <c r="N7" s="1"/>
      <c r="O7" s="1"/>
      <c r="P7" s="1"/>
      <c r="Q7" s="1"/>
      <c r="R7" s="1"/>
      <c r="U7" s="1"/>
      <c r="V7" s="1"/>
      <c r="W7" s="1"/>
      <c r="X7" s="1"/>
      <c r="Y7" s="1"/>
      <c r="Z7" s="1">
        <v>44.6</v>
      </c>
      <c r="AA7" s="1">
        <f t="shared" si="0"/>
        <v>51.875</v>
      </c>
      <c r="AB7" s="1">
        <f t="shared" si="1"/>
        <v>43.064999999999998</v>
      </c>
      <c r="AC7" s="1"/>
      <c r="AD7" s="1"/>
      <c r="AE7" s="1"/>
      <c r="AF7" s="1"/>
      <c r="AG7" s="1"/>
      <c r="AH7" s="1"/>
      <c r="AI7" s="1"/>
      <c r="AJ7" s="1"/>
    </row>
    <row r="8" spans="1:36" ht="16" x14ac:dyDescent="0.2">
      <c r="A8" s="8" t="s">
        <v>335</v>
      </c>
      <c r="B8" s="16" t="s">
        <v>1155</v>
      </c>
      <c r="C8" s="1"/>
      <c r="D8" s="1"/>
      <c r="E8" s="1"/>
      <c r="F8" s="1"/>
      <c r="G8" s="1"/>
      <c r="H8" s="1">
        <v>20.2</v>
      </c>
      <c r="I8" s="1">
        <v>17.899999999999999</v>
      </c>
      <c r="J8" s="1">
        <v>16.8</v>
      </c>
      <c r="K8" s="1"/>
      <c r="L8" s="1"/>
      <c r="M8" s="1"/>
      <c r="N8" s="1"/>
      <c r="O8" s="1"/>
      <c r="P8" s="1"/>
      <c r="Q8" s="1"/>
      <c r="R8" s="1"/>
      <c r="U8" s="1"/>
      <c r="V8" s="1"/>
      <c r="W8" s="1"/>
      <c r="X8" s="1"/>
      <c r="Y8" s="1"/>
      <c r="Z8" s="1">
        <v>20.2</v>
      </c>
      <c r="AA8" s="1">
        <f t="shared" si="0"/>
        <v>22.375</v>
      </c>
      <c r="AB8" s="1">
        <f t="shared" si="1"/>
        <v>24.36</v>
      </c>
      <c r="AC8" s="1"/>
      <c r="AD8" s="1"/>
      <c r="AE8" s="1"/>
      <c r="AF8" s="1"/>
      <c r="AG8" s="1"/>
      <c r="AH8" s="1"/>
      <c r="AI8" s="1"/>
      <c r="AJ8" s="1"/>
    </row>
    <row r="9" spans="1:36" ht="16" x14ac:dyDescent="0.2">
      <c r="A9" s="8" t="s">
        <v>336</v>
      </c>
      <c r="B9" s="16" t="s">
        <v>1156</v>
      </c>
      <c r="C9" s="1"/>
      <c r="D9" s="1"/>
      <c r="E9" s="1"/>
      <c r="F9" s="1"/>
      <c r="G9" s="1"/>
      <c r="H9" s="1"/>
      <c r="I9" s="1"/>
      <c r="J9" s="1">
        <v>4.0999999999999996</v>
      </c>
      <c r="K9" s="1">
        <v>2.2999999999999998</v>
      </c>
      <c r="L9" s="1">
        <v>4.0999999999999996</v>
      </c>
      <c r="M9" s="1"/>
      <c r="N9" s="1">
        <v>1.8</v>
      </c>
      <c r="O9" s="1"/>
      <c r="P9" s="1"/>
      <c r="Q9" s="1"/>
      <c r="R9" s="1"/>
      <c r="U9" s="1"/>
      <c r="V9" s="1"/>
      <c r="W9" s="1"/>
      <c r="X9" s="1"/>
      <c r="Y9" s="1"/>
      <c r="Z9" s="1"/>
      <c r="AA9" s="1"/>
      <c r="AB9" s="1">
        <v>4.0999999999999996</v>
      </c>
      <c r="AC9" s="1">
        <f>(K9*0.2)+K9</f>
        <v>2.76</v>
      </c>
      <c r="AD9" s="1">
        <f>(L9*0.4)+L9</f>
        <v>5.7399999999999993</v>
      </c>
      <c r="AE9" s="1"/>
      <c r="AF9" s="1">
        <f>(N9*0.85)+N9</f>
        <v>3.33</v>
      </c>
      <c r="AG9" s="1"/>
      <c r="AH9" s="1"/>
      <c r="AI9" s="1"/>
      <c r="AJ9" s="1"/>
    </row>
    <row r="10" spans="1:36" ht="16" x14ac:dyDescent="0.2">
      <c r="A10" s="21" t="s">
        <v>624</v>
      </c>
      <c r="B10" s="16" t="s">
        <v>1157</v>
      </c>
      <c r="C10" s="1"/>
      <c r="D10" s="1"/>
      <c r="E10" s="1"/>
      <c r="F10" s="1"/>
      <c r="G10" s="1"/>
      <c r="H10" s="1"/>
      <c r="I10" s="1"/>
      <c r="J10" s="3">
        <v>14.2</v>
      </c>
      <c r="O10" s="1"/>
      <c r="P10" s="1"/>
      <c r="Q10" s="1"/>
      <c r="R10" s="1"/>
      <c r="U10" s="1"/>
      <c r="V10" s="1"/>
      <c r="W10" s="1"/>
      <c r="X10" s="1"/>
      <c r="Y10" s="1"/>
      <c r="Z10" s="1"/>
      <c r="AA10" s="1"/>
      <c r="AB10" s="1">
        <f>(J10*0.2)+J10</f>
        <v>17.04</v>
      </c>
      <c r="AC10" s="1"/>
      <c r="AD10" s="1"/>
      <c r="AE10" s="1"/>
      <c r="AF10" s="1"/>
      <c r="AG10" s="1"/>
      <c r="AH10" s="1"/>
      <c r="AI10" s="1"/>
      <c r="AJ10" s="1"/>
    </row>
    <row r="11" spans="1:36" ht="16" x14ac:dyDescent="0.2">
      <c r="A11" s="8" t="s">
        <v>272</v>
      </c>
      <c r="B11" s="16" t="s">
        <v>1134</v>
      </c>
      <c r="C11" s="1"/>
      <c r="D11" s="1"/>
      <c r="E11" s="1"/>
      <c r="F11" s="1"/>
      <c r="G11" s="1"/>
      <c r="H11" s="1"/>
      <c r="I11" s="1"/>
      <c r="J11" s="3"/>
      <c r="K11" s="1">
        <v>10</v>
      </c>
      <c r="L11" s="1">
        <v>13.1</v>
      </c>
      <c r="M11" s="1">
        <v>16.8</v>
      </c>
      <c r="N11" s="1">
        <v>21.2</v>
      </c>
      <c r="O11" s="1">
        <v>20.100000000000001</v>
      </c>
      <c r="P11" s="1">
        <v>18</v>
      </c>
      <c r="Q11" s="1">
        <v>20.5</v>
      </c>
      <c r="R11" s="1">
        <v>19.899999999999999</v>
      </c>
      <c r="U11" s="1"/>
      <c r="V11" s="1"/>
      <c r="W11" s="1"/>
      <c r="X11" s="1"/>
      <c r="Y11" s="1"/>
      <c r="Z11" s="1"/>
      <c r="AA11" s="1"/>
      <c r="AB11" s="1"/>
      <c r="AC11" s="1">
        <v>10</v>
      </c>
      <c r="AD11" s="1">
        <f>(L11*0.2)+L11</f>
        <v>15.719999999999999</v>
      </c>
      <c r="AE11" s="1">
        <f>(M11*0.4)+M11</f>
        <v>23.520000000000003</v>
      </c>
      <c r="AF11" s="1">
        <f>(N11*0.65)+N11</f>
        <v>34.979999999999997</v>
      </c>
      <c r="AG11" s="1">
        <f>(O11*0.9)+O11</f>
        <v>38.190000000000005</v>
      </c>
      <c r="AH11" s="1">
        <f>(P11*1.1)+P11</f>
        <v>37.799999999999997</v>
      </c>
      <c r="AI11" s="1">
        <f>(Q11*1.3)+Q11</f>
        <v>47.150000000000006</v>
      </c>
      <c r="AJ11" s="1">
        <f>(R11*1.5)+R11</f>
        <v>49.75</v>
      </c>
    </row>
    <row r="12" spans="1:36" ht="16" x14ac:dyDescent="0.2">
      <c r="A12" s="8" t="s">
        <v>399</v>
      </c>
      <c r="B12" s="16" t="s">
        <v>1158</v>
      </c>
      <c r="C12" s="1"/>
      <c r="D12" s="1"/>
      <c r="E12" s="1"/>
      <c r="F12" s="1"/>
      <c r="G12" s="1"/>
      <c r="K12" s="1">
        <v>14</v>
      </c>
      <c r="L12" s="1">
        <v>17.399999999999999</v>
      </c>
      <c r="M12" s="1">
        <v>18.8</v>
      </c>
      <c r="N12" s="1">
        <v>22.3</v>
      </c>
      <c r="O12" s="1">
        <v>35.299999999999997</v>
      </c>
      <c r="P12" s="1">
        <v>22</v>
      </c>
      <c r="Q12" s="1">
        <v>12.9</v>
      </c>
      <c r="R12" s="1">
        <v>16.899999999999999</v>
      </c>
      <c r="U12" s="1"/>
      <c r="V12" s="1"/>
      <c r="W12" s="1"/>
      <c r="X12" s="1"/>
      <c r="Y12" s="1"/>
      <c r="Z12" s="1"/>
      <c r="AA12" s="1"/>
      <c r="AB12" s="1"/>
      <c r="AC12" s="1">
        <v>14</v>
      </c>
      <c r="AD12" s="1">
        <f t="shared" ref="AD12:AD16" si="2">(L12*0.2)+L12</f>
        <v>20.88</v>
      </c>
      <c r="AE12" s="1">
        <f t="shared" ref="AE12:AE16" si="3">(M12*0.4)+M12</f>
        <v>26.32</v>
      </c>
      <c r="AF12" s="1">
        <f t="shared" ref="AF12:AF16" si="4">(N12*0.65)+N12</f>
        <v>36.795000000000002</v>
      </c>
      <c r="AG12" s="1">
        <f t="shared" ref="AG12:AG14" si="5">(O12*0.9)+O12</f>
        <v>67.069999999999993</v>
      </c>
      <c r="AH12" s="1">
        <f t="shared" ref="AH12:AH14" si="6">(P12*1.1)+P12</f>
        <v>46.2</v>
      </c>
      <c r="AI12" s="1">
        <f t="shared" ref="AI12:AI16" si="7">(Q12*1.3)+Q12</f>
        <v>29.67</v>
      </c>
      <c r="AJ12" s="1">
        <f t="shared" ref="AJ12:AJ14" si="8">(R12*1.5)+R12</f>
        <v>42.25</v>
      </c>
    </row>
    <row r="13" spans="1:36" ht="16" x14ac:dyDescent="0.2">
      <c r="A13" s="8" t="s">
        <v>400</v>
      </c>
      <c r="B13" s="16" t="s">
        <v>1159</v>
      </c>
      <c r="C13" s="1"/>
      <c r="D13" s="1"/>
      <c r="E13" s="1"/>
      <c r="F13" s="1"/>
      <c r="G13" s="1"/>
      <c r="H13" s="1"/>
      <c r="I13" s="1"/>
      <c r="J13" s="1"/>
      <c r="K13" s="1">
        <v>8</v>
      </c>
      <c r="L13" s="1">
        <v>12.1</v>
      </c>
      <c r="M13" s="1">
        <v>9.6999999999999993</v>
      </c>
      <c r="N13" s="1">
        <v>10.9</v>
      </c>
      <c r="O13" s="1">
        <v>11.7</v>
      </c>
      <c r="P13" s="1">
        <v>23.2</v>
      </c>
      <c r="Q13" s="1">
        <v>13.6</v>
      </c>
      <c r="R13" s="1">
        <v>25.8</v>
      </c>
      <c r="U13" s="1"/>
      <c r="V13" s="1"/>
      <c r="W13" s="1"/>
      <c r="X13" s="1"/>
      <c r="Y13" s="1"/>
      <c r="Z13" s="1"/>
      <c r="AA13" s="1"/>
      <c r="AB13" s="1"/>
      <c r="AC13" s="1">
        <v>8</v>
      </c>
      <c r="AD13" s="1">
        <f t="shared" si="2"/>
        <v>14.52</v>
      </c>
      <c r="AE13" s="1">
        <f t="shared" si="3"/>
        <v>13.579999999999998</v>
      </c>
      <c r="AF13" s="1">
        <f t="shared" si="4"/>
        <v>17.984999999999999</v>
      </c>
      <c r="AG13" s="1">
        <f t="shared" si="5"/>
        <v>22.229999999999997</v>
      </c>
      <c r="AH13" s="1">
        <f t="shared" si="6"/>
        <v>48.72</v>
      </c>
      <c r="AI13" s="1">
        <f t="shared" si="7"/>
        <v>31.28</v>
      </c>
      <c r="AJ13" s="1">
        <f t="shared" si="8"/>
        <v>64.5</v>
      </c>
    </row>
    <row r="14" spans="1:36" ht="16" x14ac:dyDescent="0.2">
      <c r="A14" s="8" t="s">
        <v>401</v>
      </c>
      <c r="B14" s="16" t="s">
        <v>719</v>
      </c>
      <c r="C14" s="1"/>
      <c r="D14" s="1"/>
      <c r="E14" s="1"/>
      <c r="F14" s="1"/>
      <c r="G14" s="1"/>
      <c r="H14" s="1"/>
      <c r="I14" s="1"/>
      <c r="J14" s="1"/>
      <c r="K14" s="1">
        <v>28.5</v>
      </c>
      <c r="L14" s="1">
        <v>20.399999999999999</v>
      </c>
      <c r="M14" s="1">
        <v>18.100000000000001</v>
      </c>
      <c r="N14" s="1">
        <v>17.399999999999999</v>
      </c>
      <c r="O14" s="1">
        <v>17.899999999999999</v>
      </c>
      <c r="P14" s="1">
        <v>17.8</v>
      </c>
      <c r="Q14" s="1">
        <v>19.2</v>
      </c>
      <c r="R14" s="1">
        <v>14.4</v>
      </c>
      <c r="U14" s="1"/>
      <c r="V14" s="1"/>
      <c r="W14" s="1"/>
      <c r="X14" s="1"/>
      <c r="Y14" s="1"/>
      <c r="Z14" s="1"/>
      <c r="AA14" s="1"/>
      <c r="AB14" s="1"/>
      <c r="AC14" s="1">
        <v>28.5</v>
      </c>
      <c r="AD14" s="1">
        <f t="shared" si="2"/>
        <v>24.479999999999997</v>
      </c>
      <c r="AE14" s="1">
        <f t="shared" si="3"/>
        <v>25.340000000000003</v>
      </c>
      <c r="AF14" s="1">
        <f t="shared" si="4"/>
        <v>28.709999999999997</v>
      </c>
      <c r="AG14" s="1">
        <f t="shared" si="5"/>
        <v>34.01</v>
      </c>
      <c r="AH14" s="1">
        <f t="shared" si="6"/>
        <v>37.380000000000003</v>
      </c>
      <c r="AI14" s="1">
        <f t="shared" si="7"/>
        <v>44.16</v>
      </c>
      <c r="AJ14" s="1">
        <f t="shared" si="8"/>
        <v>36</v>
      </c>
    </row>
    <row r="15" spans="1:36" ht="16" x14ac:dyDescent="0.2">
      <c r="A15" s="8" t="s">
        <v>259</v>
      </c>
      <c r="B15" s="16" t="s">
        <v>1160</v>
      </c>
      <c r="C15" s="1"/>
      <c r="D15" s="1"/>
      <c r="E15" s="1"/>
      <c r="F15" s="1"/>
      <c r="G15" s="1">
        <v>8.9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U15" s="1"/>
      <c r="V15" s="1"/>
      <c r="W15" s="1"/>
      <c r="X15" s="1"/>
      <c r="Y15" s="1">
        <v>8.9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6" x14ac:dyDescent="0.2">
      <c r="A16" s="8" t="s">
        <v>226</v>
      </c>
      <c r="B16" s="16" t="s">
        <v>1161</v>
      </c>
      <c r="C16" s="1"/>
      <c r="D16" s="1"/>
      <c r="E16" s="1"/>
      <c r="F16" s="1"/>
      <c r="G16" s="1"/>
      <c r="H16" s="1"/>
      <c r="I16" s="1"/>
      <c r="J16" s="1"/>
      <c r="K16" s="1">
        <v>7.9</v>
      </c>
      <c r="L16" s="1">
        <v>11.4</v>
      </c>
      <c r="M16" s="1">
        <v>16.600000000000001</v>
      </c>
      <c r="N16" s="1">
        <v>6.2</v>
      </c>
      <c r="O16" s="1"/>
      <c r="P16" s="1"/>
      <c r="Q16" s="3">
        <v>10</v>
      </c>
      <c r="R16" s="1"/>
      <c r="U16" s="1"/>
      <c r="V16" s="1"/>
      <c r="W16" s="1"/>
      <c r="X16" s="1"/>
      <c r="Y16" s="1"/>
      <c r="Z16" s="1"/>
      <c r="AA16" s="1"/>
      <c r="AB16" s="1"/>
      <c r="AC16" s="1">
        <v>7.9</v>
      </c>
      <c r="AD16" s="1">
        <f t="shared" si="2"/>
        <v>13.68</v>
      </c>
      <c r="AE16" s="1">
        <f t="shared" si="3"/>
        <v>23.240000000000002</v>
      </c>
      <c r="AF16" s="1">
        <f t="shared" si="4"/>
        <v>10.23</v>
      </c>
      <c r="AG16" s="1"/>
      <c r="AH16" s="1"/>
      <c r="AI16" s="1">
        <f t="shared" si="7"/>
        <v>23</v>
      </c>
      <c r="AJ16" s="1">
        <v>0</v>
      </c>
    </row>
    <row r="17" spans="1:38" ht="16" x14ac:dyDescent="0.2">
      <c r="A17" s="8" t="s">
        <v>160</v>
      </c>
      <c r="B17" s="16" t="s">
        <v>1162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v>3.9</v>
      </c>
      <c r="N17" s="1">
        <v>3.5</v>
      </c>
      <c r="O17" s="1"/>
      <c r="P17" s="3">
        <v>5.2</v>
      </c>
      <c r="Q17" s="1">
        <v>5.4</v>
      </c>
      <c r="R17" s="1">
        <v>7.6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>
        <v>3.9</v>
      </c>
      <c r="AF17" s="1">
        <f>(N17*0.25)+N17</f>
        <v>4.375</v>
      </c>
      <c r="AG17" s="1"/>
      <c r="AH17" s="1">
        <f>(P17*0.7)+P17</f>
        <v>8.84</v>
      </c>
      <c r="AI17" s="1">
        <f>(Q17*0.9)+Q17</f>
        <v>10.260000000000002</v>
      </c>
      <c r="AJ17" s="1">
        <f>(R17*1.1)+R17</f>
        <v>15.959999999999999</v>
      </c>
    </row>
    <row r="18" spans="1:38" ht="16" x14ac:dyDescent="0.2">
      <c r="A18" s="8" t="s">
        <v>270</v>
      </c>
      <c r="B18" s="16" t="s">
        <v>1132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>
        <v>9.8000000000000007</v>
      </c>
      <c r="P18" s="1">
        <v>11.3</v>
      </c>
      <c r="Q18" s="1">
        <v>8</v>
      </c>
      <c r="R18" s="1">
        <v>15.3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>
        <v>9.8000000000000007</v>
      </c>
      <c r="AH18" s="1">
        <f>(P18*0.2)+P18</f>
        <v>13.56</v>
      </c>
      <c r="AI18" s="1">
        <f>(Q18*0.4)+Q18</f>
        <v>11.2</v>
      </c>
      <c r="AJ18" s="1">
        <f>(R18*0.6)+R18</f>
        <v>24.48</v>
      </c>
    </row>
    <row r="19" spans="1:38" ht="16" x14ac:dyDescent="0.2">
      <c r="A19" s="8" t="s">
        <v>195</v>
      </c>
      <c r="B19" s="16" t="s">
        <v>1163</v>
      </c>
      <c r="C19" s="1"/>
      <c r="D19" s="1"/>
      <c r="E19" s="1"/>
      <c r="F19" s="1"/>
      <c r="G19" s="1"/>
      <c r="K19" s="1"/>
      <c r="L19" s="1"/>
      <c r="M19" s="1"/>
      <c r="N19" s="1"/>
      <c r="O19" s="1"/>
      <c r="P19" s="1"/>
      <c r="Q19" s="3">
        <v>3.2</v>
      </c>
      <c r="R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>
        <f>(Q19*0.4)+Q19</f>
        <v>4.4800000000000004</v>
      </c>
      <c r="AJ19" s="1"/>
      <c r="AL19" s="4"/>
    </row>
    <row r="20" spans="1:38" x14ac:dyDescent="0.2">
      <c r="T20" s="3" t="s">
        <v>14</v>
      </c>
      <c r="U20" s="1">
        <f>SUM(U2:U19)</f>
        <v>100</v>
      </c>
      <c r="V20" s="1">
        <f t="shared" ref="V20:AJ20" si="9">SUM(V2:V19)</f>
        <v>105</v>
      </c>
      <c r="W20" s="1">
        <f t="shared" si="9"/>
        <v>125</v>
      </c>
      <c r="X20" s="1">
        <f t="shared" si="9"/>
        <v>145</v>
      </c>
      <c r="Y20" s="1">
        <f t="shared" si="9"/>
        <v>159.215</v>
      </c>
      <c r="Z20" s="1">
        <f t="shared" si="9"/>
        <v>112.52500000000001</v>
      </c>
      <c r="AA20" s="1">
        <f t="shared" si="9"/>
        <v>135.88</v>
      </c>
      <c r="AB20" s="1">
        <f t="shared" si="9"/>
        <v>151.44499999999999</v>
      </c>
      <c r="AC20" s="1">
        <f t="shared" si="9"/>
        <v>144.16</v>
      </c>
      <c r="AD20" s="1">
        <f t="shared" si="9"/>
        <v>149.65</v>
      </c>
      <c r="AE20" s="1">
        <f t="shared" si="9"/>
        <v>160.56000000000003</v>
      </c>
      <c r="AF20" s="1">
        <f t="shared" si="9"/>
        <v>180.505</v>
      </c>
      <c r="AG20" s="1">
        <f t="shared" si="9"/>
        <v>185.57999999999998</v>
      </c>
      <c r="AH20" s="1">
        <f t="shared" si="9"/>
        <v>200.78</v>
      </c>
      <c r="AI20" s="1">
        <f t="shared" si="9"/>
        <v>224.38</v>
      </c>
      <c r="AJ20" s="1">
        <f t="shared" si="9"/>
        <v>232.94</v>
      </c>
      <c r="AK20" s="1"/>
      <c r="AL20" s="6"/>
    </row>
    <row r="22" spans="1:38" x14ac:dyDescent="0.2">
      <c r="U22" s="1">
        <v>100</v>
      </c>
      <c r="V22" s="1">
        <v>105</v>
      </c>
      <c r="W22" s="1">
        <v>125</v>
      </c>
      <c r="X22" s="1">
        <v>145</v>
      </c>
      <c r="Y22" s="1">
        <v>165</v>
      </c>
      <c r="Z22" s="1">
        <v>185</v>
      </c>
      <c r="AA22" s="1">
        <v>210</v>
      </c>
      <c r="AB22" s="1">
        <v>230</v>
      </c>
      <c r="AC22" s="1">
        <v>250</v>
      </c>
      <c r="AD22" s="1">
        <v>270</v>
      </c>
      <c r="AE22" s="1">
        <v>290</v>
      </c>
      <c r="AF22" s="1">
        <v>315</v>
      </c>
      <c r="AG22" s="1">
        <v>340</v>
      </c>
      <c r="AH22" s="1">
        <v>360</v>
      </c>
      <c r="AI22" s="1">
        <v>380</v>
      </c>
      <c r="AJ22" s="1">
        <v>400</v>
      </c>
      <c r="AK22" s="1"/>
    </row>
    <row r="23" spans="1:38" ht="16" x14ac:dyDescent="0.2">
      <c r="A23" s="21"/>
      <c r="B23" s="21"/>
      <c r="C23" s="16"/>
      <c r="D23" s="16"/>
    </row>
    <row r="24" spans="1:38" ht="16" x14ac:dyDescent="0.2">
      <c r="A24" s="21"/>
      <c r="B24" s="21"/>
      <c r="C24" s="16"/>
      <c r="D24" s="16"/>
      <c r="U24" s="1">
        <f>U20</f>
        <v>100</v>
      </c>
      <c r="V24" s="1">
        <f>SUM(U24+V20)</f>
        <v>205</v>
      </c>
      <c r="W24" s="1">
        <f>SUM(V24+W20)</f>
        <v>330</v>
      </c>
      <c r="X24" s="1">
        <f>SUM(W24+X20)</f>
        <v>475</v>
      </c>
      <c r="Y24" s="1">
        <f>SUM(X24+Y20)</f>
        <v>634.21500000000003</v>
      </c>
      <c r="Z24" s="1">
        <f>SUM(Y24+Z20)</f>
        <v>746.74</v>
      </c>
      <c r="AA24" s="1">
        <f t="shared" ref="AA24:AJ24" si="10">SUM(Z24+AA20)</f>
        <v>882.62</v>
      </c>
      <c r="AB24" s="1">
        <f t="shared" si="10"/>
        <v>1034.0650000000001</v>
      </c>
      <c r="AC24" s="1">
        <f t="shared" si="10"/>
        <v>1178.2250000000001</v>
      </c>
      <c r="AD24" s="1">
        <f t="shared" si="10"/>
        <v>1327.8750000000002</v>
      </c>
      <c r="AE24" s="1">
        <f t="shared" si="10"/>
        <v>1488.4350000000002</v>
      </c>
      <c r="AF24" s="1">
        <f t="shared" si="10"/>
        <v>1668.94</v>
      </c>
      <c r="AG24" s="1">
        <f t="shared" si="10"/>
        <v>1854.52</v>
      </c>
      <c r="AH24" s="1">
        <f t="shared" si="10"/>
        <v>2055.3000000000002</v>
      </c>
      <c r="AI24" s="1">
        <f t="shared" si="10"/>
        <v>2279.6800000000003</v>
      </c>
      <c r="AJ24" s="1">
        <f t="shared" si="10"/>
        <v>2512.6200000000003</v>
      </c>
    </row>
    <row r="25" spans="1:38" ht="16" x14ac:dyDescent="0.2">
      <c r="A25" s="21"/>
      <c r="B25" s="21"/>
      <c r="C25" s="16"/>
      <c r="D25" s="16"/>
      <c r="U25" s="3"/>
      <c r="V25" s="3"/>
      <c r="W25" s="3"/>
      <c r="X25" s="3"/>
      <c r="AA25" s="1"/>
      <c r="AB25" s="1"/>
      <c r="AC25" s="1"/>
      <c r="AD25" s="1"/>
      <c r="AE25" s="1"/>
      <c r="AF25" s="1"/>
      <c r="AG25" s="1"/>
      <c r="AH25" s="1"/>
      <c r="AI25" s="1"/>
    </row>
    <row r="26" spans="1:38" ht="16" x14ac:dyDescent="0.2">
      <c r="A26" s="21"/>
      <c r="B26" s="21"/>
      <c r="C26" s="16"/>
      <c r="D26" s="16"/>
      <c r="U26" s="1">
        <v>100</v>
      </c>
      <c r="V26" s="1">
        <f>SUM(U26+V22)</f>
        <v>205</v>
      </c>
      <c r="W26" s="1">
        <f>SUM(V26+W22)</f>
        <v>330</v>
      </c>
      <c r="X26" s="1">
        <f>SUM(W26+X22)</f>
        <v>475</v>
      </c>
      <c r="Y26" s="1">
        <f>SUM(X26+Y22)</f>
        <v>640</v>
      </c>
      <c r="Z26" s="1">
        <f>SUM(Y26+Z22)</f>
        <v>825</v>
      </c>
      <c r="AA26" s="1">
        <f t="shared" ref="AA26:AJ26" si="11">SUM(Z26+AA22)</f>
        <v>1035</v>
      </c>
      <c r="AB26" s="1">
        <f t="shared" si="11"/>
        <v>1265</v>
      </c>
      <c r="AC26" s="1">
        <f t="shared" si="11"/>
        <v>1515</v>
      </c>
      <c r="AD26" s="1">
        <f t="shared" si="11"/>
        <v>1785</v>
      </c>
      <c r="AE26" s="1">
        <f t="shared" si="11"/>
        <v>2075</v>
      </c>
      <c r="AF26" s="1">
        <f t="shared" si="11"/>
        <v>2390</v>
      </c>
      <c r="AG26" s="1">
        <f t="shared" si="11"/>
        <v>2730</v>
      </c>
      <c r="AH26" s="1">
        <f t="shared" si="11"/>
        <v>3090</v>
      </c>
      <c r="AI26" s="1">
        <f t="shared" si="11"/>
        <v>3470</v>
      </c>
      <c r="AJ26" s="1">
        <f t="shared" si="11"/>
        <v>3870</v>
      </c>
    </row>
    <row r="27" spans="1:38" ht="16" x14ac:dyDescent="0.2">
      <c r="A27" s="21"/>
      <c r="B27" s="21"/>
      <c r="C27" s="16"/>
      <c r="D27" s="16"/>
    </row>
    <row r="28" spans="1:38" ht="16" x14ac:dyDescent="0.2">
      <c r="A28" s="21"/>
      <c r="B28" s="21"/>
      <c r="C28" s="16"/>
      <c r="D28" s="16"/>
      <c r="U28" s="4" t="s">
        <v>1563</v>
      </c>
      <c r="V28" s="4" t="s">
        <v>1563</v>
      </c>
      <c r="W28" s="4" t="s">
        <v>1563</v>
      </c>
      <c r="X28" s="4" t="s">
        <v>1563</v>
      </c>
      <c r="Y28" s="4" t="s">
        <v>1563</v>
      </c>
      <c r="Z28" s="4" t="s">
        <v>1563</v>
      </c>
      <c r="AA28" s="4" t="s">
        <v>1563</v>
      </c>
      <c r="AB28" s="4" t="s">
        <v>1563</v>
      </c>
      <c r="AC28" s="4" t="s">
        <v>1563</v>
      </c>
      <c r="AD28" s="4" t="s">
        <v>1563</v>
      </c>
      <c r="AE28" s="4" t="s">
        <v>1563</v>
      </c>
      <c r="AF28" s="4" t="s">
        <v>1563</v>
      </c>
      <c r="AG28" s="4" t="s">
        <v>1563</v>
      </c>
      <c r="AH28" s="4" t="s">
        <v>1563</v>
      </c>
      <c r="AI28" s="4" t="s">
        <v>1563</v>
      </c>
      <c r="AJ28" s="4" t="s">
        <v>1563</v>
      </c>
    </row>
    <row r="29" spans="1:38" ht="16" x14ac:dyDescent="0.2">
      <c r="A29" s="21"/>
      <c r="B29" s="21"/>
      <c r="C29" s="16"/>
      <c r="D29" s="16"/>
      <c r="U29" s="6">
        <f t="shared" ref="U29:AJ29" si="12">(U24/U26)*100</f>
        <v>100</v>
      </c>
      <c r="V29" s="6">
        <f t="shared" si="12"/>
        <v>100</v>
      </c>
      <c r="W29" s="6">
        <f t="shared" si="12"/>
        <v>100</v>
      </c>
      <c r="X29" s="6">
        <f t="shared" si="12"/>
        <v>100</v>
      </c>
      <c r="Y29" s="6">
        <f t="shared" si="12"/>
        <v>99.096093750000009</v>
      </c>
      <c r="Z29" s="6">
        <f t="shared" si="12"/>
        <v>90.513939393939395</v>
      </c>
      <c r="AA29" s="6">
        <f t="shared" si="12"/>
        <v>85.277294685990341</v>
      </c>
      <c r="AB29" s="6">
        <f t="shared" si="12"/>
        <v>81.744268774703571</v>
      </c>
      <c r="AC29" s="6">
        <f t="shared" si="12"/>
        <v>77.770627062706282</v>
      </c>
      <c r="AD29" s="6">
        <f t="shared" si="12"/>
        <v>74.390756302521027</v>
      </c>
      <c r="AE29" s="6">
        <f t="shared" si="12"/>
        <v>71.73180722891567</v>
      </c>
      <c r="AF29" s="6">
        <f t="shared" si="12"/>
        <v>69.830125523012555</v>
      </c>
      <c r="AG29" s="6">
        <f t="shared" si="12"/>
        <v>67.931135531135538</v>
      </c>
      <c r="AH29" s="6">
        <f t="shared" si="12"/>
        <v>66.514563106796118</v>
      </c>
      <c r="AI29" s="6">
        <f t="shared" si="12"/>
        <v>65.696829971181572</v>
      </c>
      <c r="AJ29" s="6">
        <f t="shared" si="12"/>
        <v>64.925581395348843</v>
      </c>
    </row>
    <row r="30" spans="1:38" ht="16" x14ac:dyDescent="0.2">
      <c r="A30" s="21"/>
      <c r="B30" s="21"/>
      <c r="C30" s="16"/>
      <c r="D30" s="16"/>
    </row>
    <row r="31" spans="1:38" ht="16" x14ac:dyDescent="0.2">
      <c r="A31" s="21"/>
      <c r="B31" s="21"/>
      <c r="C31" s="16"/>
      <c r="D31" s="16"/>
    </row>
    <row r="32" spans="1:38" ht="16" x14ac:dyDescent="0.2">
      <c r="A32" s="21"/>
      <c r="B32" s="21"/>
      <c r="C32" s="16"/>
      <c r="D32" s="16"/>
    </row>
    <row r="33" spans="1:4" ht="16" x14ac:dyDescent="0.2">
      <c r="A33" s="21"/>
      <c r="B33" s="21"/>
      <c r="C33" s="16"/>
      <c r="D33" s="16"/>
    </row>
    <row r="34" spans="1:4" ht="16" x14ac:dyDescent="0.2">
      <c r="A34" s="21"/>
      <c r="B34" s="21"/>
      <c r="C34" s="16"/>
      <c r="D34" s="16"/>
    </row>
    <row r="35" spans="1:4" ht="16" x14ac:dyDescent="0.2">
      <c r="A35" s="21"/>
      <c r="B35" s="21"/>
      <c r="C35" s="16"/>
      <c r="D35" s="16"/>
    </row>
    <row r="36" spans="1:4" ht="16" x14ac:dyDescent="0.2">
      <c r="A36" s="21"/>
      <c r="B36" s="21"/>
      <c r="C36" s="16"/>
      <c r="D36" s="16"/>
    </row>
    <row r="37" spans="1:4" ht="16" x14ac:dyDescent="0.2">
      <c r="A37" s="21"/>
      <c r="B37" s="21"/>
      <c r="C37" s="16"/>
      <c r="D37" s="16"/>
    </row>
    <row r="38" spans="1:4" ht="16" x14ac:dyDescent="0.2">
      <c r="A38" s="21"/>
      <c r="B38" s="21"/>
      <c r="C38" s="16"/>
      <c r="D38" s="16"/>
    </row>
    <row r="39" spans="1:4" ht="16" x14ac:dyDescent="0.2">
      <c r="A39" s="21"/>
      <c r="B39" s="21"/>
      <c r="C39" s="16"/>
      <c r="D39" s="16"/>
    </row>
    <row r="40" spans="1:4" ht="16" x14ac:dyDescent="0.2">
      <c r="A40" s="21"/>
      <c r="B40" s="21"/>
      <c r="C40" s="16"/>
      <c r="D40" s="16"/>
    </row>
    <row r="41" spans="1:4" ht="16" x14ac:dyDescent="0.2">
      <c r="A41" s="30"/>
      <c r="B41" s="30"/>
      <c r="C41" s="30"/>
      <c r="D41" s="3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9"/>
  <sheetViews>
    <sheetView topLeftCell="G1" workbookViewId="0">
      <selection activeCell="L28" sqref="L28:T28"/>
    </sheetView>
  </sheetViews>
  <sheetFormatPr baseColWidth="10" defaultRowHeight="15" x14ac:dyDescent="0.2"/>
  <sheetData>
    <row r="1" spans="1:20" x14ac:dyDescent="0.2">
      <c r="A1" s="3" t="s">
        <v>15</v>
      </c>
      <c r="B1" s="3">
        <v>1993</v>
      </c>
      <c r="C1" s="3">
        <v>1997</v>
      </c>
      <c r="D1" s="3">
        <v>2001</v>
      </c>
      <c r="E1" s="3">
        <v>2005</v>
      </c>
      <c r="F1" s="3">
        <v>2009</v>
      </c>
      <c r="G1" s="3">
        <v>2011</v>
      </c>
      <c r="H1" s="3">
        <v>2015</v>
      </c>
      <c r="I1" s="3">
        <v>2019</v>
      </c>
      <c r="J1" s="3">
        <v>2023</v>
      </c>
      <c r="L1" s="3">
        <v>1993</v>
      </c>
      <c r="M1" s="3">
        <v>1997</v>
      </c>
      <c r="N1" s="3">
        <v>2001</v>
      </c>
      <c r="O1" s="3">
        <v>2005</v>
      </c>
      <c r="P1" s="3">
        <v>2009</v>
      </c>
      <c r="Q1" s="3">
        <v>2011</v>
      </c>
      <c r="R1" s="3">
        <v>2015</v>
      </c>
      <c r="S1" s="3">
        <v>2019</v>
      </c>
      <c r="T1" s="3">
        <v>2023</v>
      </c>
    </row>
    <row r="2" spans="1:20" x14ac:dyDescent="0.2">
      <c r="A2" s="8" t="s">
        <v>89</v>
      </c>
      <c r="B2" s="1">
        <v>22</v>
      </c>
      <c r="C2" s="1">
        <v>40.5</v>
      </c>
      <c r="D2" s="1">
        <v>44.1</v>
      </c>
      <c r="E2" s="1">
        <v>40</v>
      </c>
      <c r="F2" s="1">
        <v>32.299999999999997</v>
      </c>
      <c r="G2" s="1"/>
      <c r="H2" s="3">
        <v>27.7</v>
      </c>
      <c r="I2" s="1">
        <v>12.5</v>
      </c>
      <c r="J2" s="1">
        <v>4.7</v>
      </c>
      <c r="L2" s="1">
        <v>22</v>
      </c>
      <c r="M2" s="1">
        <f>(C2*0.2)+C2</f>
        <v>48.6</v>
      </c>
      <c r="N2" s="1">
        <f>(D2*0.4)+D2</f>
        <v>61.74</v>
      </c>
      <c r="O2" s="1">
        <f>(E2*0.6)+E2</f>
        <v>64</v>
      </c>
      <c r="P2" s="1">
        <f>(F2*0.8)+F2</f>
        <v>58.14</v>
      </c>
      <c r="Q2" s="1"/>
      <c r="R2" s="1">
        <f>(H2*1.1)+H2</f>
        <v>58.17</v>
      </c>
      <c r="S2" s="1">
        <f>(I2*1.3)+I2</f>
        <v>28.75</v>
      </c>
      <c r="T2" s="1">
        <f>(J2*1.45)+J2</f>
        <v>11.515000000000001</v>
      </c>
    </row>
    <row r="3" spans="1:20" x14ac:dyDescent="0.2">
      <c r="A3" s="8" t="s">
        <v>90</v>
      </c>
      <c r="B3" s="1">
        <v>15.3</v>
      </c>
      <c r="C3" s="1">
        <v>11.4</v>
      </c>
      <c r="D3" s="1"/>
      <c r="E3" s="1"/>
      <c r="F3" s="1"/>
      <c r="G3" s="1"/>
      <c r="L3" s="1">
        <v>15.3</v>
      </c>
      <c r="M3" s="1">
        <f t="shared" ref="M3:M5" si="0">(C3*0.2)+C3</f>
        <v>13.68</v>
      </c>
      <c r="N3" s="1"/>
      <c r="O3" s="1"/>
      <c r="P3" s="1"/>
      <c r="Q3" s="1"/>
      <c r="R3" s="1"/>
      <c r="T3" s="1"/>
    </row>
    <row r="4" spans="1:20" x14ac:dyDescent="0.2">
      <c r="A4" s="8" t="s">
        <v>92</v>
      </c>
      <c r="B4" s="1">
        <v>26.4</v>
      </c>
      <c r="C4" s="1">
        <v>27.1</v>
      </c>
      <c r="D4" s="1"/>
      <c r="E4" s="1"/>
      <c r="F4" s="1"/>
      <c r="G4" s="1"/>
      <c r="L4" s="1">
        <v>26.4</v>
      </c>
      <c r="M4" s="1">
        <f t="shared" si="0"/>
        <v>32.520000000000003</v>
      </c>
      <c r="N4" s="1"/>
      <c r="O4" s="1"/>
      <c r="P4" s="1"/>
      <c r="Q4" s="1"/>
      <c r="R4" s="1"/>
      <c r="T4" s="1"/>
    </row>
    <row r="5" spans="1:20" x14ac:dyDescent="0.2">
      <c r="A5" s="8" t="s">
        <v>29</v>
      </c>
      <c r="B5" s="1">
        <v>19.100000000000001</v>
      </c>
      <c r="C5" s="1">
        <v>16.8</v>
      </c>
      <c r="D5" s="1"/>
      <c r="E5" s="1"/>
      <c r="F5" s="1"/>
      <c r="G5" s="1"/>
      <c r="L5" s="1">
        <v>19.100000000000001</v>
      </c>
      <c r="M5" s="1">
        <f t="shared" si="0"/>
        <v>20.16</v>
      </c>
      <c r="N5" s="1"/>
      <c r="O5" s="1"/>
      <c r="P5" s="1"/>
      <c r="Q5" s="1"/>
      <c r="R5" s="1"/>
      <c r="T5" s="1"/>
    </row>
    <row r="6" spans="1:20" x14ac:dyDescent="0.2">
      <c r="A6" s="8" t="s">
        <v>19</v>
      </c>
      <c r="B6" s="1"/>
      <c r="C6" s="1"/>
      <c r="D6" s="1">
        <v>28.7</v>
      </c>
      <c r="E6" s="1">
        <v>36.9</v>
      </c>
      <c r="F6" s="1">
        <v>45</v>
      </c>
      <c r="G6" s="1">
        <v>34.799999999999997</v>
      </c>
      <c r="H6" s="1">
        <v>23.5</v>
      </c>
      <c r="I6" s="1">
        <v>30.6</v>
      </c>
      <c r="J6" s="1">
        <v>21.1</v>
      </c>
      <c r="L6" s="1"/>
      <c r="M6" s="1"/>
      <c r="N6" s="1">
        <v>28.7</v>
      </c>
      <c r="O6" s="1">
        <f>(E6*0.2)+E6</f>
        <v>44.28</v>
      </c>
      <c r="P6" s="1">
        <f>(F6*0.4)+F6</f>
        <v>63</v>
      </c>
      <c r="Q6" s="1">
        <f>(G6*0.5)+G6</f>
        <v>52.199999999999996</v>
      </c>
      <c r="R6" s="1">
        <f>(H6*0.7)+H6</f>
        <v>39.950000000000003</v>
      </c>
      <c r="S6" s="1">
        <f>(I6*0.9)+I6</f>
        <v>58.14</v>
      </c>
      <c r="T6" s="1">
        <f>(J6*1.05)+J6</f>
        <v>43.255000000000003</v>
      </c>
    </row>
    <row r="7" spans="1:20" x14ac:dyDescent="0.2">
      <c r="A7" s="8" t="s">
        <v>91</v>
      </c>
      <c r="B7" s="1"/>
      <c r="C7" s="1"/>
      <c r="E7" s="1">
        <v>10.7</v>
      </c>
      <c r="F7" s="1"/>
      <c r="G7" s="1"/>
      <c r="L7" s="1"/>
      <c r="M7" s="1"/>
      <c r="N7" s="1"/>
      <c r="O7" s="1">
        <v>10.7</v>
      </c>
      <c r="P7" s="1"/>
      <c r="Q7" s="1"/>
      <c r="R7" s="1"/>
    </row>
    <row r="8" spans="1:20" x14ac:dyDescent="0.2">
      <c r="A8" s="8" t="s">
        <v>435</v>
      </c>
      <c r="B8" s="1"/>
      <c r="C8" s="1"/>
      <c r="D8" s="1"/>
      <c r="E8" s="1">
        <v>6</v>
      </c>
      <c r="F8" s="1"/>
      <c r="G8" s="1"/>
      <c r="L8" s="1"/>
      <c r="M8" s="1"/>
      <c r="N8" s="1"/>
      <c r="O8" s="1">
        <v>6</v>
      </c>
      <c r="P8" s="1"/>
      <c r="Q8" s="1"/>
      <c r="R8" s="1"/>
      <c r="T8" s="4"/>
    </row>
    <row r="9" spans="1:20" x14ac:dyDescent="0.2">
      <c r="A9" s="8" t="s">
        <v>436</v>
      </c>
      <c r="B9" s="1"/>
      <c r="C9" s="1"/>
      <c r="D9" s="1"/>
      <c r="E9" s="1">
        <v>3.4</v>
      </c>
      <c r="F9" s="1">
        <v>3.2</v>
      </c>
      <c r="G9" s="1">
        <v>3.4</v>
      </c>
      <c r="L9" s="1"/>
      <c r="M9" s="1"/>
      <c r="N9" s="1"/>
      <c r="O9" s="1">
        <v>3.4</v>
      </c>
      <c r="P9" s="1">
        <f>(F9*0.2)+F9</f>
        <v>3.8400000000000003</v>
      </c>
      <c r="Q9" s="1">
        <f>(G9*0.3)+G9</f>
        <v>4.42</v>
      </c>
      <c r="R9" s="1"/>
      <c r="T9" s="4"/>
    </row>
    <row r="10" spans="1:20" x14ac:dyDescent="0.2">
      <c r="A10" s="8" t="s">
        <v>438</v>
      </c>
      <c r="B10" s="1">
        <v>17.2</v>
      </c>
      <c r="C10" s="1"/>
      <c r="D10" s="1"/>
      <c r="E10" s="1"/>
      <c r="F10" s="1"/>
      <c r="G10" s="1"/>
      <c r="L10" s="1">
        <v>17.2</v>
      </c>
      <c r="M10" s="1"/>
      <c r="N10" s="1"/>
      <c r="O10" s="1"/>
      <c r="P10" s="1"/>
      <c r="Q10" s="1"/>
      <c r="R10" s="1"/>
      <c r="T10" s="4"/>
    </row>
    <row r="11" spans="1:20" x14ac:dyDescent="0.2">
      <c r="A11" s="8" t="s">
        <v>439</v>
      </c>
      <c r="B11" s="1"/>
      <c r="C11" s="1"/>
      <c r="D11" s="1"/>
      <c r="E11" s="1"/>
      <c r="F11" s="1">
        <v>18.899999999999999</v>
      </c>
      <c r="G11" s="1">
        <v>6.7</v>
      </c>
      <c r="L11" s="1"/>
      <c r="M11" s="1"/>
      <c r="N11" s="1"/>
      <c r="O11" s="1"/>
      <c r="P11" s="1">
        <v>18.899999999999999</v>
      </c>
      <c r="Q11" s="1">
        <f>(G11*0.1)+G11</f>
        <v>7.37</v>
      </c>
      <c r="R11" s="1"/>
      <c r="T11" s="4"/>
    </row>
    <row r="12" spans="1:20" x14ac:dyDescent="0.2">
      <c r="A12" s="8" t="s">
        <v>357</v>
      </c>
      <c r="B12" s="1"/>
      <c r="C12" s="1"/>
      <c r="D12" s="1">
        <v>22.7</v>
      </c>
      <c r="E12" s="1"/>
      <c r="F12" s="1"/>
      <c r="G12" s="1"/>
      <c r="L12" s="1"/>
      <c r="M12" s="1"/>
      <c r="N12" s="1">
        <v>22.7</v>
      </c>
      <c r="O12" s="1"/>
      <c r="P12" s="1"/>
      <c r="Q12" s="3"/>
      <c r="R12" s="1"/>
      <c r="T12" s="4"/>
    </row>
    <row r="13" spans="1:20" x14ac:dyDescent="0.2">
      <c r="A13" s="8" t="s">
        <v>119</v>
      </c>
      <c r="B13" s="1"/>
      <c r="C13" s="1"/>
      <c r="D13" s="1"/>
      <c r="E13" s="1"/>
      <c r="F13" s="1"/>
      <c r="G13" s="1"/>
      <c r="H13" s="1">
        <v>11.7</v>
      </c>
      <c r="I13" s="1">
        <v>5.9</v>
      </c>
      <c r="J13" s="1"/>
      <c r="L13" s="1"/>
      <c r="M13" s="1"/>
      <c r="N13" s="1"/>
      <c r="O13" s="1"/>
      <c r="P13" s="1"/>
      <c r="Q13" s="1"/>
      <c r="R13" s="1">
        <v>11.7</v>
      </c>
      <c r="S13" s="1">
        <f>(I13*0.2)+I13</f>
        <v>7.08</v>
      </c>
      <c r="T13" s="4"/>
    </row>
    <row r="14" spans="1:20" x14ac:dyDescent="0.2">
      <c r="A14" s="8" t="s">
        <v>362</v>
      </c>
      <c r="B14" s="1"/>
      <c r="C14" s="1"/>
      <c r="D14" s="1"/>
      <c r="E14" s="1"/>
      <c r="F14" s="1"/>
      <c r="G14" s="1">
        <v>55.2</v>
      </c>
      <c r="H14" s="1">
        <v>37</v>
      </c>
      <c r="I14" s="1">
        <v>35.1</v>
      </c>
      <c r="J14" s="1">
        <v>32.700000000000003</v>
      </c>
      <c r="L14" s="1"/>
      <c r="M14" s="1"/>
      <c r="N14" s="1"/>
      <c r="O14" s="1"/>
      <c r="P14" s="1"/>
      <c r="Q14" s="1">
        <v>55.2</v>
      </c>
      <c r="R14" s="1">
        <f>(H14*0.2)+H14</f>
        <v>44.4</v>
      </c>
      <c r="S14" s="1">
        <f>(I14*0.4)+I14</f>
        <v>49.14</v>
      </c>
      <c r="T14" s="1">
        <f>(J14*0.55)+J14</f>
        <v>50.685000000000002</v>
      </c>
    </row>
    <row r="15" spans="1:20" x14ac:dyDescent="0.2">
      <c r="A15" s="8" t="s">
        <v>1408</v>
      </c>
      <c r="B15" s="1"/>
      <c r="C15" s="1"/>
      <c r="D15" s="1"/>
      <c r="E15" s="1"/>
      <c r="F15" s="1"/>
      <c r="G15" s="1"/>
      <c r="H15" s="1"/>
      <c r="I15" s="1">
        <v>10.4</v>
      </c>
      <c r="J15" s="1"/>
      <c r="L15" s="1"/>
      <c r="M15" s="1"/>
      <c r="N15" s="1"/>
      <c r="O15" s="1"/>
      <c r="P15" s="1"/>
      <c r="Q15" s="1"/>
      <c r="R15" s="1"/>
      <c r="S15" s="1">
        <v>10.4</v>
      </c>
      <c r="T15" s="4"/>
    </row>
    <row r="16" spans="1:20" x14ac:dyDescent="0.2">
      <c r="A16" s="8" t="s">
        <v>1506</v>
      </c>
      <c r="B16" s="1"/>
      <c r="C16" s="1"/>
      <c r="D16" s="1"/>
      <c r="E16" s="1"/>
      <c r="F16" s="1"/>
      <c r="G16" s="1"/>
      <c r="H16" s="1"/>
      <c r="I16" s="1"/>
      <c r="J16" s="1">
        <v>4.2</v>
      </c>
      <c r="L16" s="1"/>
      <c r="M16" s="1"/>
      <c r="N16" s="1"/>
      <c r="O16" s="1"/>
      <c r="P16" s="1"/>
      <c r="Q16" s="1"/>
      <c r="R16" s="1"/>
      <c r="S16" s="1"/>
      <c r="T16" s="1">
        <v>4.2</v>
      </c>
    </row>
    <row r="17" spans="1:20" x14ac:dyDescent="0.2">
      <c r="A17" s="8" t="s">
        <v>1507</v>
      </c>
      <c r="B17" s="1"/>
      <c r="C17" s="1"/>
      <c r="D17" s="1"/>
      <c r="E17" s="1"/>
      <c r="F17" s="1"/>
      <c r="G17" s="1"/>
      <c r="H17" s="1"/>
      <c r="I17" s="1"/>
      <c r="J17" s="1">
        <v>16</v>
      </c>
      <c r="L17" s="1"/>
      <c r="M17" s="1"/>
      <c r="N17" s="1"/>
      <c r="O17" s="1"/>
      <c r="P17" s="1"/>
      <c r="Q17" s="1"/>
      <c r="R17" s="1"/>
      <c r="S17" s="1"/>
      <c r="T17" s="1">
        <v>16</v>
      </c>
    </row>
    <row r="18" spans="1:20" x14ac:dyDescent="0.2">
      <c r="A18" s="8" t="s">
        <v>1508</v>
      </c>
      <c r="B18" s="1"/>
      <c r="C18" s="1"/>
      <c r="D18" s="1"/>
      <c r="E18" s="1"/>
      <c r="F18" s="1"/>
      <c r="G18" s="1"/>
      <c r="H18" s="1"/>
      <c r="I18" s="1"/>
      <c r="J18" s="1">
        <v>21.4</v>
      </c>
      <c r="L18" s="1"/>
      <c r="M18" s="1"/>
      <c r="N18" s="1"/>
      <c r="O18" s="1"/>
      <c r="P18" s="1"/>
      <c r="Q18" s="1"/>
      <c r="R18" s="1"/>
      <c r="S18" s="1"/>
      <c r="T18" s="1">
        <v>21.4</v>
      </c>
    </row>
    <row r="19" spans="1:20" x14ac:dyDescent="0.2">
      <c r="A19" s="8" t="s">
        <v>595</v>
      </c>
      <c r="B19" s="1"/>
      <c r="C19" s="1"/>
      <c r="D19" s="1"/>
      <c r="E19" s="1"/>
      <c r="F19" s="1"/>
      <c r="G19" s="1"/>
      <c r="H19" s="1"/>
      <c r="I19" s="1">
        <v>4.5999999999999996</v>
      </c>
      <c r="J19" s="1"/>
      <c r="L19" s="1"/>
      <c r="M19" s="1"/>
      <c r="N19" s="1"/>
      <c r="O19" s="1"/>
      <c r="P19" s="1"/>
      <c r="Q19" s="1"/>
      <c r="R19" s="1"/>
      <c r="S19" s="1">
        <v>4.5999999999999996</v>
      </c>
      <c r="T19" s="4"/>
    </row>
    <row r="20" spans="1:20" x14ac:dyDescent="0.2">
      <c r="K20" s="3" t="s">
        <v>14</v>
      </c>
      <c r="L20" s="1">
        <f>SUM(L2:L19)</f>
        <v>100</v>
      </c>
      <c r="M20" s="1">
        <f t="shared" ref="M20:T20" si="1">SUM(M2:M19)</f>
        <v>114.96000000000001</v>
      </c>
      <c r="N20" s="1">
        <f t="shared" si="1"/>
        <v>113.14</v>
      </c>
      <c r="O20" s="1">
        <f t="shared" si="1"/>
        <v>128.38</v>
      </c>
      <c r="P20" s="1">
        <f t="shared" si="1"/>
        <v>143.88</v>
      </c>
      <c r="Q20" s="1">
        <f t="shared" si="1"/>
        <v>119.19</v>
      </c>
      <c r="R20" s="1">
        <f t="shared" si="1"/>
        <v>154.22</v>
      </c>
      <c r="S20" s="1">
        <f t="shared" si="1"/>
        <v>158.11000000000001</v>
      </c>
      <c r="T20" s="1">
        <f t="shared" si="1"/>
        <v>147.05500000000001</v>
      </c>
    </row>
    <row r="22" spans="1:20" x14ac:dyDescent="0.2">
      <c r="L22" s="1">
        <v>100</v>
      </c>
      <c r="M22" s="1">
        <v>120</v>
      </c>
      <c r="N22" s="1">
        <v>140</v>
      </c>
      <c r="O22" s="1">
        <v>160</v>
      </c>
      <c r="P22" s="1">
        <v>180</v>
      </c>
      <c r="Q22" s="1">
        <v>190</v>
      </c>
      <c r="R22" s="1">
        <v>210</v>
      </c>
      <c r="S22" s="1">
        <v>230</v>
      </c>
      <c r="T22" s="1">
        <v>245</v>
      </c>
    </row>
    <row r="23" spans="1:20" x14ac:dyDescent="0.2">
      <c r="L23" s="1"/>
      <c r="M23" s="1"/>
      <c r="N23" s="1"/>
      <c r="O23" s="1"/>
    </row>
    <row r="24" spans="1:20" x14ac:dyDescent="0.2">
      <c r="L24" s="1">
        <f>L20</f>
        <v>100</v>
      </c>
      <c r="M24" s="1">
        <f>SUM(L24+M20)</f>
        <v>214.96</v>
      </c>
      <c r="N24" s="1">
        <f>SUM(M24+N20)</f>
        <v>328.1</v>
      </c>
      <c r="O24" s="1">
        <f>SUM(N24+O20)</f>
        <v>456.48</v>
      </c>
      <c r="P24" s="1">
        <f t="shared" ref="P24:T24" si="2">SUM(O24+P20)</f>
        <v>600.36</v>
      </c>
      <c r="Q24" s="1">
        <f t="shared" si="2"/>
        <v>719.55</v>
      </c>
      <c r="R24" s="1">
        <f t="shared" si="2"/>
        <v>873.77</v>
      </c>
      <c r="S24" s="1">
        <f t="shared" si="2"/>
        <v>1031.8800000000001</v>
      </c>
      <c r="T24" s="1">
        <f t="shared" si="2"/>
        <v>1178.9350000000002</v>
      </c>
    </row>
    <row r="25" spans="1:20" x14ac:dyDescent="0.2">
      <c r="L25" s="3"/>
      <c r="M25" s="3"/>
      <c r="N25" s="3"/>
      <c r="O25" s="3"/>
      <c r="P25" s="3"/>
      <c r="Q25" s="3"/>
    </row>
    <row r="26" spans="1:20" x14ac:dyDescent="0.2">
      <c r="L26" s="1">
        <v>100</v>
      </c>
      <c r="M26" s="1">
        <f>SUM(L26+M22)</f>
        <v>220</v>
      </c>
      <c r="N26" s="1">
        <f>SUM(M26+N22)</f>
        <v>360</v>
      </c>
      <c r="O26" s="1">
        <f>SUM(N26+O22)</f>
        <v>520</v>
      </c>
      <c r="P26" s="1">
        <f t="shared" ref="P26:T26" si="3">SUM(O26+P22)</f>
        <v>700</v>
      </c>
      <c r="Q26" s="1">
        <f t="shared" si="3"/>
        <v>890</v>
      </c>
      <c r="R26" s="1">
        <f t="shared" si="3"/>
        <v>1100</v>
      </c>
      <c r="S26" s="1">
        <f t="shared" si="3"/>
        <v>1330</v>
      </c>
      <c r="T26" s="1">
        <f t="shared" si="3"/>
        <v>1575</v>
      </c>
    </row>
    <row r="28" spans="1:20" x14ac:dyDescent="0.2">
      <c r="L28" s="4" t="s">
        <v>1563</v>
      </c>
      <c r="M28" s="4" t="s">
        <v>1563</v>
      </c>
      <c r="N28" s="4" t="s">
        <v>1563</v>
      </c>
      <c r="O28" s="4" t="s">
        <v>1563</v>
      </c>
      <c r="P28" s="4" t="s">
        <v>1563</v>
      </c>
      <c r="Q28" s="4" t="s">
        <v>1563</v>
      </c>
      <c r="R28" s="4" t="s">
        <v>1563</v>
      </c>
      <c r="S28" s="4" t="s">
        <v>1563</v>
      </c>
      <c r="T28" s="4" t="s">
        <v>1563</v>
      </c>
    </row>
    <row r="29" spans="1:20" x14ac:dyDescent="0.2">
      <c r="L29" s="6">
        <f>(L24/L26)*100</f>
        <v>100</v>
      </c>
      <c r="M29" s="6">
        <f>(M24/M26)*100</f>
        <v>97.709090909090918</v>
      </c>
      <c r="N29" s="6">
        <f>(N24/N26)*100</f>
        <v>91.138888888888886</v>
      </c>
      <c r="O29" s="6">
        <f>(O24/O26)*100</f>
        <v>87.784615384615378</v>
      </c>
      <c r="P29" s="6">
        <f t="shared" ref="P29:T29" si="4">(P24/P26)*100</f>
        <v>85.765714285714296</v>
      </c>
      <c r="Q29" s="6">
        <f t="shared" si="4"/>
        <v>80.848314606741567</v>
      </c>
      <c r="R29" s="6">
        <f t="shared" si="4"/>
        <v>79.433636363636367</v>
      </c>
      <c r="S29" s="6">
        <f t="shared" si="4"/>
        <v>77.584962406015052</v>
      </c>
      <c r="T29" s="6">
        <f t="shared" si="4"/>
        <v>74.853015873015877</v>
      </c>
    </row>
    <row r="33" spans="1:17" x14ac:dyDescent="0.2">
      <c r="L33" s="4"/>
      <c r="M33" s="4"/>
      <c r="N33" s="4"/>
      <c r="O33" s="4"/>
      <c r="P33" s="4"/>
      <c r="Q33" s="4"/>
    </row>
    <row r="34" spans="1:17" x14ac:dyDescent="0.2">
      <c r="L34" s="3"/>
      <c r="M34" s="3"/>
      <c r="N34" s="3"/>
      <c r="O34" s="3"/>
      <c r="P34" s="3"/>
      <c r="Q34" s="3"/>
    </row>
    <row r="37" spans="1:17" ht="16" x14ac:dyDescent="0.2">
      <c r="A37" s="15"/>
      <c r="B37" s="16"/>
    </row>
    <row r="38" spans="1:17" ht="16" x14ac:dyDescent="0.2">
      <c r="A38" s="15"/>
      <c r="B38" s="16"/>
    </row>
    <row r="39" spans="1:17" ht="16" x14ac:dyDescent="0.2">
      <c r="A39" s="15"/>
      <c r="B39" s="16"/>
    </row>
    <row r="40" spans="1:17" ht="16" x14ac:dyDescent="0.2">
      <c r="A40" s="15"/>
      <c r="B40" s="16"/>
    </row>
    <row r="41" spans="1:17" ht="16" x14ac:dyDescent="0.2">
      <c r="A41" s="15"/>
      <c r="B41" s="16"/>
    </row>
    <row r="42" spans="1:17" ht="16" x14ac:dyDescent="0.2">
      <c r="A42" s="15"/>
      <c r="B42" s="1"/>
    </row>
    <row r="43" spans="1:17" ht="16" x14ac:dyDescent="0.2">
      <c r="A43" s="15"/>
      <c r="B43" s="1"/>
    </row>
    <row r="44" spans="1:17" ht="16" x14ac:dyDescent="0.2">
      <c r="A44" s="15"/>
      <c r="B44" s="1"/>
    </row>
    <row r="45" spans="1:17" ht="16" x14ac:dyDescent="0.2">
      <c r="A45" s="15"/>
      <c r="B45" s="1"/>
    </row>
    <row r="46" spans="1:17" ht="16" x14ac:dyDescent="0.2">
      <c r="A46" s="15"/>
      <c r="B46" s="1"/>
    </row>
    <row r="47" spans="1:17" ht="16" x14ac:dyDescent="0.2">
      <c r="A47" s="15"/>
      <c r="B47" s="1"/>
    </row>
    <row r="48" spans="1:17" ht="16" x14ac:dyDescent="0.2">
      <c r="A48" s="15"/>
      <c r="B48" s="1"/>
    </row>
    <row r="49" spans="1:2" ht="16" x14ac:dyDescent="0.2">
      <c r="A49" s="15"/>
      <c r="B49" s="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9"/>
  <sheetViews>
    <sheetView workbookViewId="0">
      <selection activeCell="H19" sqref="H19:J19"/>
    </sheetView>
  </sheetViews>
  <sheetFormatPr baseColWidth="10" defaultRowHeight="15" x14ac:dyDescent="0.2"/>
  <cols>
    <col min="2" max="2" width="39" customWidth="1"/>
  </cols>
  <sheetData>
    <row r="1" spans="1:12" ht="16" x14ac:dyDescent="0.2">
      <c r="A1" s="3" t="s">
        <v>15</v>
      </c>
      <c r="B1" s="24" t="s">
        <v>681</v>
      </c>
      <c r="C1" s="3" t="s">
        <v>269</v>
      </c>
      <c r="D1" s="3">
        <v>1951</v>
      </c>
      <c r="E1" s="3">
        <v>1956</v>
      </c>
      <c r="H1" s="3" t="s">
        <v>269</v>
      </c>
      <c r="I1" s="3">
        <v>1951</v>
      </c>
      <c r="J1" s="3">
        <v>1956</v>
      </c>
    </row>
    <row r="2" spans="1:12" ht="16" x14ac:dyDescent="0.2">
      <c r="A2" s="8" t="s">
        <v>270</v>
      </c>
      <c r="B2" s="16" t="s">
        <v>1132</v>
      </c>
      <c r="C2" s="1">
        <v>28.3</v>
      </c>
      <c r="D2" s="1">
        <v>26.3</v>
      </c>
      <c r="E2" s="1">
        <v>25.4</v>
      </c>
      <c r="H2" s="1">
        <v>28.3</v>
      </c>
      <c r="I2" s="1">
        <f>(D2*0.25)+D2</f>
        <v>32.875</v>
      </c>
      <c r="J2" s="1">
        <f>(E2*0.5)+E2</f>
        <v>38.099999999999994</v>
      </c>
    </row>
    <row r="3" spans="1:12" ht="16" x14ac:dyDescent="0.2">
      <c r="A3" s="8" t="s">
        <v>271</v>
      </c>
      <c r="B3" s="16" t="s">
        <v>1143</v>
      </c>
      <c r="C3" s="1">
        <v>26</v>
      </c>
      <c r="D3" s="1">
        <v>12.6</v>
      </c>
      <c r="E3" s="1">
        <v>10.9</v>
      </c>
      <c r="H3" s="1">
        <v>26</v>
      </c>
      <c r="I3" s="1">
        <f t="shared" ref="I3:I5" si="0">(D3*0.25)+D3</f>
        <v>15.75</v>
      </c>
      <c r="J3" s="1">
        <f t="shared" ref="J3:J8" si="1">(E3*0.5)+E3</f>
        <v>16.350000000000001</v>
      </c>
    </row>
    <row r="4" spans="1:12" ht="16" x14ac:dyDescent="0.2">
      <c r="A4" s="8" t="s">
        <v>272</v>
      </c>
      <c r="B4" s="16" t="s">
        <v>1134</v>
      </c>
      <c r="C4" s="1">
        <v>17.899999999999999</v>
      </c>
      <c r="D4" s="1">
        <v>15.4</v>
      </c>
      <c r="E4" s="1">
        <v>14.9</v>
      </c>
      <c r="H4" s="1">
        <v>17.899999999999999</v>
      </c>
      <c r="I4" s="1">
        <f t="shared" si="0"/>
        <v>19.25</v>
      </c>
      <c r="J4" s="1">
        <f t="shared" si="1"/>
        <v>22.35</v>
      </c>
    </row>
    <row r="5" spans="1:12" ht="16" x14ac:dyDescent="0.2">
      <c r="A5" s="8" t="s">
        <v>401</v>
      </c>
      <c r="B5" s="16" t="s">
        <v>719</v>
      </c>
      <c r="C5" s="1">
        <v>11.1</v>
      </c>
      <c r="D5" s="1">
        <v>10.199999999999999</v>
      </c>
      <c r="E5" s="1">
        <v>11</v>
      </c>
      <c r="H5" s="1">
        <v>11.1</v>
      </c>
      <c r="I5" s="1">
        <f t="shared" si="0"/>
        <v>12.75</v>
      </c>
      <c r="J5" s="1">
        <f t="shared" si="1"/>
        <v>16.5</v>
      </c>
    </row>
    <row r="6" spans="1:12" ht="16" x14ac:dyDescent="0.2">
      <c r="A6" s="15" t="s">
        <v>404</v>
      </c>
      <c r="B6" s="16" t="s">
        <v>1144</v>
      </c>
      <c r="C6" s="1">
        <v>12.9</v>
      </c>
      <c r="D6" s="1"/>
      <c r="E6" s="1"/>
      <c r="H6" s="1">
        <v>12.9</v>
      </c>
      <c r="I6" s="1"/>
      <c r="J6" s="1"/>
    </row>
    <row r="7" spans="1:12" ht="16" x14ac:dyDescent="0.2">
      <c r="A7" s="15" t="s">
        <v>515</v>
      </c>
      <c r="B7" s="16" t="s">
        <v>1145</v>
      </c>
      <c r="C7" s="1">
        <v>3.1</v>
      </c>
      <c r="D7" s="1"/>
      <c r="E7" s="1"/>
      <c r="H7" s="1">
        <v>3.1</v>
      </c>
      <c r="I7" s="1"/>
      <c r="J7" s="1"/>
    </row>
    <row r="8" spans="1:12" ht="16" x14ac:dyDescent="0.2">
      <c r="A8" s="1" t="s">
        <v>517</v>
      </c>
      <c r="B8" s="16" t="s">
        <v>1148</v>
      </c>
      <c r="C8" s="1"/>
      <c r="D8" s="1">
        <v>21.9</v>
      </c>
      <c r="E8" s="1">
        <v>1.2</v>
      </c>
      <c r="H8" s="1"/>
      <c r="I8" s="1">
        <v>21.9</v>
      </c>
      <c r="J8" s="1">
        <f t="shared" si="1"/>
        <v>1.7999999999999998</v>
      </c>
    </row>
    <row r="9" spans="1:12" ht="16" x14ac:dyDescent="0.2">
      <c r="A9" s="15" t="s">
        <v>516</v>
      </c>
      <c r="B9" s="16" t="s">
        <v>1146</v>
      </c>
      <c r="C9" s="1"/>
      <c r="D9" s="1"/>
      <c r="E9" s="1">
        <v>12.6</v>
      </c>
      <c r="H9" s="1"/>
      <c r="I9" s="1"/>
      <c r="J9" s="1">
        <v>12.6</v>
      </c>
    </row>
    <row r="10" spans="1:12" ht="16" x14ac:dyDescent="0.2">
      <c r="A10" s="8" t="s">
        <v>273</v>
      </c>
      <c r="B10" s="16" t="s">
        <v>1147</v>
      </c>
      <c r="D10" s="1">
        <v>13.6</v>
      </c>
      <c r="E10" s="1">
        <v>15.3</v>
      </c>
      <c r="H10" s="1"/>
      <c r="I10" s="1">
        <v>13.6</v>
      </c>
      <c r="J10" s="1">
        <f>(E10*0.25)+E10</f>
        <v>19.125</v>
      </c>
      <c r="L10" s="4"/>
    </row>
    <row r="11" spans="1:12" x14ac:dyDescent="0.2">
      <c r="A11" s="1"/>
      <c r="B11" s="1"/>
      <c r="G11" s="3" t="s">
        <v>14</v>
      </c>
      <c r="H11" s="1">
        <f>SUM(H2:H10)</f>
        <v>99.299999999999983</v>
      </c>
      <c r="I11" s="1">
        <f>SUM(I2:I10)</f>
        <v>116.125</v>
      </c>
      <c r="J11" s="1">
        <f>SUM(J2:J10)</f>
        <v>126.82499999999999</v>
      </c>
      <c r="K11" s="1"/>
      <c r="L11" s="5"/>
    </row>
    <row r="12" spans="1:12" x14ac:dyDescent="0.2">
      <c r="K12" s="1"/>
      <c r="L12" s="1"/>
    </row>
    <row r="13" spans="1:12" x14ac:dyDescent="0.2">
      <c r="H13" s="1">
        <v>100</v>
      </c>
      <c r="I13" s="1">
        <v>125</v>
      </c>
      <c r="J13" s="1">
        <v>150</v>
      </c>
      <c r="K13" s="1"/>
      <c r="L13" s="1"/>
    </row>
    <row r="15" spans="1:12" x14ac:dyDescent="0.2">
      <c r="H15" s="1">
        <f>H11</f>
        <v>99.299999999999983</v>
      </c>
      <c r="I15" s="1">
        <f>SUM(H15+I11)</f>
        <v>215.42499999999998</v>
      </c>
      <c r="J15" s="1">
        <f>SUM(I15+J11)</f>
        <v>342.25</v>
      </c>
    </row>
    <row r="16" spans="1:12" x14ac:dyDescent="0.2">
      <c r="H16" s="3"/>
      <c r="I16" s="3"/>
      <c r="J16" s="3"/>
    </row>
    <row r="17" spans="1:10" x14ac:dyDescent="0.2">
      <c r="H17" s="1">
        <v>100</v>
      </c>
      <c r="I17" s="1">
        <f>SUM(H17+I13)</f>
        <v>225</v>
      </c>
      <c r="J17" s="1">
        <f>SUM(I17+J13)</f>
        <v>375</v>
      </c>
    </row>
    <row r="19" spans="1:10" x14ac:dyDescent="0.2">
      <c r="H19" s="4" t="s">
        <v>1563</v>
      </c>
      <c r="I19" s="4" t="s">
        <v>1563</v>
      </c>
      <c r="J19" s="4" t="s">
        <v>1563</v>
      </c>
    </row>
    <row r="20" spans="1:10" ht="16" x14ac:dyDescent="0.2">
      <c r="A20" s="15"/>
      <c r="B20" s="15"/>
      <c r="C20" s="16"/>
      <c r="E20" s="16"/>
      <c r="H20" s="6">
        <f>(H15/H17)*100</f>
        <v>99.299999999999983</v>
      </c>
      <c r="I20" s="6">
        <f>(I15/I17)*100</f>
        <v>95.744444444444426</v>
      </c>
      <c r="J20" s="6">
        <f>(J15/J17)*100</f>
        <v>91.266666666666666</v>
      </c>
    </row>
    <row r="21" spans="1:10" ht="16" x14ac:dyDescent="0.2">
      <c r="A21" s="15"/>
      <c r="B21" s="15"/>
      <c r="C21" s="16"/>
      <c r="E21" s="16"/>
    </row>
    <row r="22" spans="1:10" ht="16" x14ac:dyDescent="0.2">
      <c r="A22" s="15"/>
      <c r="B22" s="15"/>
      <c r="C22" s="16"/>
      <c r="E22" s="16"/>
    </row>
    <row r="23" spans="1:10" ht="16" x14ac:dyDescent="0.2">
      <c r="A23" s="15"/>
      <c r="B23" s="15"/>
      <c r="C23" s="16"/>
      <c r="E23" s="16"/>
    </row>
    <row r="24" spans="1:10" ht="16" x14ac:dyDescent="0.2">
      <c r="A24" s="15"/>
      <c r="B24" s="15"/>
      <c r="C24" s="16"/>
      <c r="E24" s="16"/>
    </row>
    <row r="25" spans="1:10" ht="16" x14ac:dyDescent="0.2">
      <c r="A25" s="15"/>
      <c r="B25" s="15"/>
      <c r="C25" s="16"/>
      <c r="E25" s="16"/>
    </row>
    <row r="26" spans="1:10" ht="16" x14ac:dyDescent="0.2">
      <c r="A26" s="15"/>
      <c r="B26" s="15"/>
      <c r="C26" s="16"/>
      <c r="E26" s="16"/>
    </row>
    <row r="27" spans="1:10" ht="16" x14ac:dyDescent="0.2">
      <c r="A27" s="15"/>
      <c r="B27" s="15"/>
      <c r="C27" s="16"/>
      <c r="E27" s="16"/>
    </row>
    <row r="28" spans="1:10" ht="16" x14ac:dyDescent="0.2">
      <c r="A28" s="15"/>
      <c r="B28" s="15"/>
      <c r="C28" s="16"/>
      <c r="E28" s="16"/>
    </row>
    <row r="29" spans="1:10" ht="16" x14ac:dyDescent="0.2">
      <c r="A29" s="15"/>
      <c r="B29" s="15"/>
      <c r="C29" s="16"/>
      <c r="E29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E39"/>
  <sheetViews>
    <sheetView topLeftCell="U1" workbookViewId="0">
      <selection activeCell="R28" sqref="R28:AE28"/>
    </sheetView>
  </sheetViews>
  <sheetFormatPr baseColWidth="10" defaultRowHeight="15" x14ac:dyDescent="0.2"/>
  <cols>
    <col min="2" max="2" width="38.83203125" customWidth="1"/>
  </cols>
  <sheetData>
    <row r="1" spans="1:31" ht="16" x14ac:dyDescent="0.2">
      <c r="A1" s="3" t="s">
        <v>15</v>
      </c>
      <c r="B1" s="24" t="s">
        <v>681</v>
      </c>
      <c r="C1" s="3">
        <v>1968</v>
      </c>
      <c r="D1" s="3">
        <v>1973</v>
      </c>
      <c r="E1" s="3">
        <v>1978</v>
      </c>
      <c r="F1" s="3">
        <v>1981</v>
      </c>
      <c r="G1" s="3">
        <v>1986</v>
      </c>
      <c r="H1" s="3">
        <v>1988</v>
      </c>
      <c r="I1" s="3">
        <v>1993</v>
      </c>
      <c r="J1" s="3">
        <v>1997</v>
      </c>
      <c r="K1" s="3">
        <v>2002</v>
      </c>
      <c r="L1" s="3">
        <v>2007</v>
      </c>
      <c r="M1" s="3">
        <v>2012</v>
      </c>
      <c r="N1" s="3">
        <v>2017</v>
      </c>
      <c r="O1" s="3">
        <v>2022</v>
      </c>
      <c r="P1" s="3">
        <v>2024</v>
      </c>
      <c r="Q1" s="3"/>
      <c r="R1" s="3">
        <v>1968</v>
      </c>
      <c r="S1" s="3">
        <v>1973</v>
      </c>
      <c r="T1" s="3">
        <v>1978</v>
      </c>
      <c r="U1" s="3">
        <v>1981</v>
      </c>
      <c r="V1" s="3">
        <v>1986</v>
      </c>
      <c r="W1" s="3">
        <v>1988</v>
      </c>
      <c r="X1" s="3">
        <v>1993</v>
      </c>
      <c r="Y1" s="3">
        <v>1997</v>
      </c>
      <c r="Z1" s="3">
        <v>2002</v>
      </c>
      <c r="AA1" s="3">
        <v>2007</v>
      </c>
      <c r="AB1" s="3">
        <v>2012</v>
      </c>
      <c r="AC1" s="3">
        <v>2017</v>
      </c>
      <c r="AD1" s="3">
        <v>2022</v>
      </c>
      <c r="AE1" s="3">
        <v>2024</v>
      </c>
    </row>
    <row r="2" spans="1:31" ht="16" x14ac:dyDescent="0.2">
      <c r="A2" s="8" t="s">
        <v>270</v>
      </c>
      <c r="B2" s="16" t="s">
        <v>1132</v>
      </c>
      <c r="C2" s="1">
        <v>20</v>
      </c>
      <c r="D2" s="1">
        <v>21.4</v>
      </c>
      <c r="E2" s="1">
        <v>20.6</v>
      </c>
      <c r="F2" s="1">
        <v>16.2</v>
      </c>
      <c r="G2" s="1">
        <v>9.8000000000000007</v>
      </c>
      <c r="H2" s="1">
        <v>11.3</v>
      </c>
      <c r="I2" s="1">
        <v>9.3000000000000007</v>
      </c>
      <c r="J2" s="1">
        <v>9.9</v>
      </c>
      <c r="K2" s="1">
        <v>4.8</v>
      </c>
      <c r="L2" s="1">
        <v>4.3</v>
      </c>
      <c r="M2" s="1">
        <v>6.9</v>
      </c>
      <c r="N2" s="1">
        <v>2.7</v>
      </c>
      <c r="O2" s="1">
        <v>2.2999999999999998</v>
      </c>
      <c r="P2" s="1">
        <v>2.4</v>
      </c>
      <c r="Q2" s="16"/>
      <c r="R2" s="1">
        <v>20</v>
      </c>
      <c r="S2" s="1">
        <f>(D2*0.25)+D2</f>
        <v>26.75</v>
      </c>
      <c r="T2" s="1">
        <f>(E2*0.5)+E2</f>
        <v>30.900000000000002</v>
      </c>
      <c r="U2" s="1">
        <f>(F2*0.65)+F2</f>
        <v>26.729999999999997</v>
      </c>
      <c r="V2" s="1">
        <f>(G2*0.9)+G2</f>
        <v>18.62</v>
      </c>
      <c r="W2" s="1">
        <f>(H2*1)+H2</f>
        <v>22.6</v>
      </c>
      <c r="X2" s="1">
        <f>(I2*1.25)+I2</f>
        <v>20.925000000000001</v>
      </c>
      <c r="Y2" s="1">
        <f>(J2*1.45)+J2</f>
        <v>24.255000000000003</v>
      </c>
      <c r="Z2" s="1">
        <f>(K2*1.7)+K2</f>
        <v>12.96</v>
      </c>
      <c r="AA2" s="1">
        <f>(L2*1.95)+L2</f>
        <v>12.684999999999999</v>
      </c>
      <c r="AB2" s="1">
        <f>(M2*2.2)+M2</f>
        <v>22.080000000000002</v>
      </c>
      <c r="AC2" s="1">
        <f>(N2*2.45)+N2</f>
        <v>9.3150000000000013</v>
      </c>
      <c r="AD2" s="1">
        <f>(O2*2.7)+O2</f>
        <v>8.51</v>
      </c>
      <c r="AE2" s="1">
        <f>(P2*2.8)+P2</f>
        <v>9.1199999999999992</v>
      </c>
    </row>
    <row r="3" spans="1:31" ht="16" x14ac:dyDescent="0.2">
      <c r="A3" s="8" t="s">
        <v>1347</v>
      </c>
      <c r="B3" s="16" t="s">
        <v>1348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v>28.1</v>
      </c>
      <c r="O3" s="1">
        <v>15.8</v>
      </c>
      <c r="P3" s="1">
        <v>12.5</v>
      </c>
      <c r="Q3" s="16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>
        <v>28.1</v>
      </c>
      <c r="AD3" s="1">
        <f>(O3*0.25)+O3</f>
        <v>19.75</v>
      </c>
      <c r="AE3" s="1">
        <f>(P3*0.35)+P3</f>
        <v>16.875</v>
      </c>
    </row>
    <row r="4" spans="1:31" ht="16" x14ac:dyDescent="0.2">
      <c r="A4" s="8" t="s">
        <v>391</v>
      </c>
      <c r="B4" s="16" t="s">
        <v>1349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v>11</v>
      </c>
      <c r="O4" s="1">
        <v>13.8</v>
      </c>
      <c r="P4" s="1">
        <v>10.5</v>
      </c>
      <c r="Q4" s="1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>
        <v>11</v>
      </c>
      <c r="AD4" s="1">
        <f>(O4*0.25)+O4</f>
        <v>17.25</v>
      </c>
      <c r="AE4" s="1">
        <f>(P4*0.35)+P4</f>
        <v>14.175000000000001</v>
      </c>
    </row>
    <row r="5" spans="1:31" ht="16" x14ac:dyDescent="0.2">
      <c r="A5" s="8" t="s">
        <v>329</v>
      </c>
      <c r="B5" s="16" t="s">
        <v>1133</v>
      </c>
      <c r="C5" s="1">
        <v>4.3</v>
      </c>
      <c r="D5" s="1">
        <v>3.3</v>
      </c>
      <c r="E5" s="1">
        <v>2.8</v>
      </c>
      <c r="F5" s="3"/>
      <c r="G5" s="3"/>
      <c r="H5" s="3"/>
      <c r="I5" s="3"/>
      <c r="J5" s="1"/>
      <c r="K5" s="1"/>
      <c r="L5" s="1"/>
      <c r="M5" s="1"/>
      <c r="N5" s="3"/>
      <c r="O5" s="1"/>
      <c r="P5" s="1"/>
      <c r="Q5" s="16"/>
      <c r="R5" s="1">
        <v>4.3</v>
      </c>
      <c r="S5" s="1">
        <f t="shared" ref="S5:S7" si="0">(D5*0.25)+D5</f>
        <v>4.125</v>
      </c>
      <c r="T5" s="1">
        <f>(E5*0.5)+E5</f>
        <v>4.1999999999999993</v>
      </c>
      <c r="U5" s="1"/>
      <c r="V5" s="1"/>
      <c r="W5" s="1"/>
      <c r="X5" s="1"/>
      <c r="Y5" s="1"/>
      <c r="Z5" s="1"/>
      <c r="AA5" s="1"/>
      <c r="AB5" s="1"/>
    </row>
    <row r="6" spans="1:31" ht="16" x14ac:dyDescent="0.2">
      <c r="A6" s="15" t="s">
        <v>1141</v>
      </c>
      <c r="B6" s="16" t="s">
        <v>1136</v>
      </c>
      <c r="C6" s="1">
        <v>43.7</v>
      </c>
      <c r="D6" s="1">
        <v>34.700000000000003</v>
      </c>
      <c r="E6" s="1">
        <v>22.6</v>
      </c>
      <c r="F6" s="1">
        <v>20.8</v>
      </c>
      <c r="G6" s="1">
        <v>32.6</v>
      </c>
      <c r="H6" s="1">
        <v>19.2</v>
      </c>
      <c r="I6" s="1">
        <v>20.100000000000001</v>
      </c>
      <c r="J6" s="1">
        <v>15.7</v>
      </c>
      <c r="K6" s="1"/>
      <c r="L6" s="1"/>
      <c r="M6" s="1"/>
      <c r="Q6" s="16"/>
      <c r="R6" s="1">
        <v>43.7</v>
      </c>
      <c r="S6" s="1">
        <f t="shared" si="0"/>
        <v>43.375</v>
      </c>
      <c r="T6" s="1">
        <f>(E6*0.5)+E6</f>
        <v>33.900000000000006</v>
      </c>
      <c r="U6" s="1">
        <f>(F6*0.65)+F6</f>
        <v>34.32</v>
      </c>
      <c r="V6" s="1">
        <f>(G6*0.9)+G6</f>
        <v>61.940000000000005</v>
      </c>
      <c r="W6" s="1">
        <f>(H6*1)+H6</f>
        <v>38.4</v>
      </c>
      <c r="X6" s="1">
        <f>(I6*1.25)+I6</f>
        <v>45.225000000000001</v>
      </c>
      <c r="Y6" s="1">
        <f>(J6*1.45)+J6</f>
        <v>38.464999999999996</v>
      </c>
      <c r="Z6" s="1"/>
      <c r="AA6" s="1"/>
      <c r="AB6" s="1"/>
    </row>
    <row r="7" spans="1:31" ht="16" x14ac:dyDescent="0.2">
      <c r="A7" s="8" t="s">
        <v>365</v>
      </c>
      <c r="B7" s="16" t="s">
        <v>1025</v>
      </c>
      <c r="C7" s="1">
        <v>10.3</v>
      </c>
      <c r="D7" s="1">
        <v>12.5</v>
      </c>
      <c r="E7" s="1"/>
      <c r="F7" s="1"/>
      <c r="K7" s="1"/>
      <c r="L7" s="1"/>
      <c r="M7" s="1"/>
      <c r="Q7" s="16"/>
      <c r="R7" s="1">
        <v>10.3</v>
      </c>
      <c r="S7" s="1">
        <f t="shared" si="0"/>
        <v>15.625</v>
      </c>
      <c r="T7" s="1"/>
      <c r="U7" s="1"/>
      <c r="V7" s="1"/>
      <c r="W7" s="1"/>
      <c r="X7" s="1"/>
      <c r="Y7" s="1"/>
      <c r="Z7" s="1"/>
      <c r="AA7" s="1"/>
      <c r="AB7" s="1"/>
    </row>
    <row r="8" spans="1:31" ht="16" x14ac:dyDescent="0.2">
      <c r="A8" s="8" t="s">
        <v>272</v>
      </c>
      <c r="B8" s="16" t="s">
        <v>1134</v>
      </c>
      <c r="C8" s="1">
        <v>16.5</v>
      </c>
      <c r="D8" s="1"/>
      <c r="E8" s="1"/>
      <c r="F8" s="1"/>
      <c r="K8" s="1"/>
      <c r="L8" s="1"/>
      <c r="M8" s="1"/>
      <c r="Q8" s="16"/>
      <c r="R8" s="1">
        <v>16.5</v>
      </c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1" ht="16" x14ac:dyDescent="0.2">
      <c r="A9" s="8" t="s">
        <v>1562</v>
      </c>
      <c r="B9" s="16" t="s">
        <v>1561</v>
      </c>
      <c r="C9" s="1"/>
      <c r="D9" s="1"/>
      <c r="E9" s="1"/>
      <c r="F9" s="1"/>
      <c r="K9" s="1"/>
      <c r="L9" s="1"/>
      <c r="M9" s="1"/>
      <c r="O9" s="1">
        <v>2.9</v>
      </c>
      <c r="P9" s="1">
        <v>3.5</v>
      </c>
      <c r="Q9" s="1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D9" s="1">
        <v>2.9</v>
      </c>
      <c r="AE9" s="1">
        <f>(P9*0.1)+P9</f>
        <v>3.85</v>
      </c>
    </row>
    <row r="10" spans="1:31" ht="16" x14ac:dyDescent="0.2">
      <c r="A10" s="8" t="s">
        <v>19</v>
      </c>
      <c r="B10" s="16" t="s">
        <v>448</v>
      </c>
      <c r="C10" s="1"/>
      <c r="D10" s="1">
        <v>19.2</v>
      </c>
      <c r="E10" s="1">
        <v>22.6</v>
      </c>
      <c r="F10" s="1">
        <v>37.5</v>
      </c>
      <c r="G10" s="1">
        <v>31</v>
      </c>
      <c r="H10" s="1">
        <v>34.799999999999997</v>
      </c>
      <c r="I10" s="1">
        <v>17.600000000000001</v>
      </c>
      <c r="J10" s="1">
        <v>23.5</v>
      </c>
      <c r="K10" s="1">
        <v>24.1</v>
      </c>
      <c r="L10" s="1">
        <v>24.7</v>
      </c>
      <c r="M10" s="1">
        <v>29.4</v>
      </c>
      <c r="N10" s="1">
        <v>7.4</v>
      </c>
      <c r="O10" s="1">
        <v>3.8</v>
      </c>
      <c r="P10" s="1">
        <v>8.6999999999999993</v>
      </c>
      <c r="Q10" s="16"/>
      <c r="R10" s="1"/>
      <c r="S10" s="1">
        <v>19.2</v>
      </c>
      <c r="T10" s="1">
        <f>(E10*0.25)+E10</f>
        <v>28.25</v>
      </c>
      <c r="U10" s="1">
        <f>(F10*0.4)+F10</f>
        <v>52.5</v>
      </c>
      <c r="V10" s="1">
        <f>(G10*0.65)+G10</f>
        <v>51.150000000000006</v>
      </c>
      <c r="W10" s="1">
        <f>(H10*0.75)+H10</f>
        <v>60.899999999999991</v>
      </c>
      <c r="X10" s="1">
        <f>(I10*1)+I10</f>
        <v>35.200000000000003</v>
      </c>
      <c r="Y10" s="1">
        <f>(J10*1.2)+J10</f>
        <v>51.7</v>
      </c>
      <c r="Z10" s="1">
        <f>(K10*1.45)+K10</f>
        <v>59.045000000000002</v>
      </c>
      <c r="AA10" s="1">
        <f>(L10*1.7)+L10</f>
        <v>66.69</v>
      </c>
      <c r="AB10" s="1">
        <f>(M10*1.95)+M10</f>
        <v>86.72999999999999</v>
      </c>
      <c r="AC10" s="1">
        <f>(N10*2.2)+N10</f>
        <v>23.68</v>
      </c>
      <c r="AD10" s="1">
        <f>(O10*2.45)+O10</f>
        <v>13.11</v>
      </c>
      <c r="AE10" s="1">
        <f>(P10*2.55)+P10</f>
        <v>30.884999999999994</v>
      </c>
    </row>
    <row r="11" spans="1:31" ht="16" x14ac:dyDescent="0.2">
      <c r="A11" s="8" t="s">
        <v>1559</v>
      </c>
      <c r="B11" s="16" t="s">
        <v>1560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v>4</v>
      </c>
      <c r="Q11" s="16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>
        <v>4</v>
      </c>
    </row>
    <row r="12" spans="1:31" ht="16" x14ac:dyDescent="0.2">
      <c r="A12" s="8" t="s">
        <v>331</v>
      </c>
      <c r="B12" s="16" t="s">
        <v>1135</v>
      </c>
      <c r="D12" s="1">
        <v>0.5</v>
      </c>
      <c r="E12" s="1">
        <v>0.3</v>
      </c>
      <c r="F12" s="1">
        <v>0.4</v>
      </c>
      <c r="G12" s="1">
        <v>9.6999999999999993</v>
      </c>
      <c r="H12" s="1">
        <v>9.6999999999999993</v>
      </c>
      <c r="I12" s="1">
        <v>12.6</v>
      </c>
      <c r="J12" s="1">
        <v>14.9</v>
      </c>
      <c r="K12" s="1">
        <v>11.3</v>
      </c>
      <c r="L12" s="1">
        <v>4.3</v>
      </c>
      <c r="M12" s="1">
        <v>13.6</v>
      </c>
      <c r="N12" s="1">
        <v>13.2</v>
      </c>
      <c r="O12" s="1">
        <v>17.899999999999999</v>
      </c>
      <c r="P12" s="1">
        <v>28.4</v>
      </c>
      <c r="Q12" s="16"/>
      <c r="R12" s="1"/>
      <c r="S12" s="1">
        <v>0.5</v>
      </c>
      <c r="T12" s="1">
        <f>(E12*0.25)+E12</f>
        <v>0.375</v>
      </c>
      <c r="U12" s="1">
        <f>(F12*0.4)+F12</f>
        <v>0.56000000000000005</v>
      </c>
      <c r="V12" s="1">
        <f>(G12*0.65)+G12</f>
        <v>16.004999999999999</v>
      </c>
      <c r="W12" s="1">
        <f>(H12*0.75)+H12</f>
        <v>16.974999999999998</v>
      </c>
      <c r="X12" s="1">
        <f>(I12*1)+I12</f>
        <v>25.2</v>
      </c>
      <c r="Y12" s="1">
        <f>(J12*1.2)+J12</f>
        <v>32.78</v>
      </c>
      <c r="Z12" s="1">
        <f>(K12*1.45)+K12</f>
        <v>27.685000000000002</v>
      </c>
      <c r="AA12" s="1">
        <f>(L12*1.7)+L12</f>
        <v>11.61</v>
      </c>
      <c r="AB12" s="1">
        <f>(M12*1.95)+M12</f>
        <v>40.119999999999997</v>
      </c>
      <c r="AC12" s="1">
        <f>(N12*2.2)+N12</f>
        <v>42.239999999999995</v>
      </c>
      <c r="AD12" s="1">
        <f>(O12*2.45)+O12</f>
        <v>61.754999999999995</v>
      </c>
      <c r="AE12" s="1">
        <f>(P12*2.55)+P12</f>
        <v>100.82</v>
      </c>
    </row>
    <row r="13" spans="1:31" ht="16" x14ac:dyDescent="0.2">
      <c r="A13" s="8" t="s">
        <v>1350</v>
      </c>
      <c r="B13" s="16" t="s">
        <v>1351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3</v>
      </c>
      <c r="O13" s="1">
        <v>1</v>
      </c>
      <c r="P13" s="1">
        <v>0.4</v>
      </c>
      <c r="Q13" s="16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>
        <v>3</v>
      </c>
      <c r="AD13" s="1">
        <f>(O13*0.25)+O13</f>
        <v>1.25</v>
      </c>
      <c r="AE13" s="1">
        <f>(P13*0.35)+P13</f>
        <v>0.54</v>
      </c>
    </row>
    <row r="14" spans="1:31" ht="16" x14ac:dyDescent="0.2">
      <c r="A14" s="8" t="s">
        <v>330</v>
      </c>
      <c r="B14" s="16" t="s">
        <v>1137</v>
      </c>
      <c r="E14" s="1">
        <v>21.5</v>
      </c>
      <c r="F14" s="1">
        <v>19.2</v>
      </c>
      <c r="G14" s="1">
        <v>8.3000000000000007</v>
      </c>
      <c r="H14" s="1">
        <v>18.5</v>
      </c>
      <c r="I14" s="1">
        <v>18.7</v>
      </c>
      <c r="J14" s="1">
        <v>14.2</v>
      </c>
      <c r="K14" s="1">
        <v>4.9000000000000004</v>
      </c>
      <c r="L14" s="1"/>
      <c r="M14" s="1"/>
      <c r="Q14" s="16"/>
      <c r="R14" s="1"/>
      <c r="S14" s="1"/>
      <c r="T14" s="1">
        <v>21.5</v>
      </c>
      <c r="U14" s="1">
        <f>(F14*0.15)+F14</f>
        <v>22.08</v>
      </c>
      <c r="V14" s="1">
        <f>(G14*0.4)+G14</f>
        <v>11.620000000000001</v>
      </c>
      <c r="W14" s="1">
        <f>(H14*0.5)+H14</f>
        <v>27.75</v>
      </c>
      <c r="X14" s="1">
        <f>(I14*0.75)+I14</f>
        <v>32.724999999999994</v>
      </c>
      <c r="Y14" s="1">
        <f>(J14*0.95)+J14</f>
        <v>27.689999999999998</v>
      </c>
      <c r="Z14" s="1">
        <f>(K14*1.2)+K14</f>
        <v>10.780000000000001</v>
      </c>
      <c r="AA14" s="1"/>
      <c r="AB14" s="1"/>
    </row>
    <row r="15" spans="1:31" ht="16" x14ac:dyDescent="0.2">
      <c r="A15" s="8" t="s">
        <v>1503</v>
      </c>
      <c r="B15" s="16" t="s">
        <v>1504</v>
      </c>
      <c r="E15" s="1"/>
      <c r="F15" s="1"/>
      <c r="G15" s="1"/>
      <c r="H15" s="1"/>
      <c r="I15" s="1"/>
      <c r="J15" s="1"/>
      <c r="K15" s="1"/>
      <c r="L15" s="1"/>
      <c r="M15" s="1"/>
      <c r="O15" s="1">
        <v>3.6</v>
      </c>
      <c r="P15" s="1">
        <v>0.8</v>
      </c>
      <c r="Q15" s="16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D15" s="1">
        <v>3.6</v>
      </c>
      <c r="AE15" s="1">
        <f>(P15*0.1)+P15</f>
        <v>0.88000000000000012</v>
      </c>
    </row>
    <row r="16" spans="1:31" ht="16" x14ac:dyDescent="0.2">
      <c r="A16" s="15" t="s">
        <v>1142</v>
      </c>
      <c r="B16" s="16" t="s">
        <v>1138</v>
      </c>
      <c r="G16" s="1">
        <v>1.2</v>
      </c>
      <c r="H16" s="1">
        <v>0.4</v>
      </c>
      <c r="I16" s="1">
        <v>4.0999999999999996</v>
      </c>
      <c r="J16" s="1">
        <v>6.8</v>
      </c>
      <c r="K16" s="1">
        <v>4.5</v>
      </c>
      <c r="L16" s="1">
        <v>3.3</v>
      </c>
      <c r="M16" s="1">
        <v>5.5</v>
      </c>
      <c r="N16" s="14"/>
      <c r="O16" s="3">
        <v>3.8</v>
      </c>
      <c r="P16" s="1">
        <v>4.5</v>
      </c>
      <c r="Q16" s="16"/>
      <c r="R16" s="1"/>
      <c r="S16" s="1"/>
      <c r="T16" s="1"/>
      <c r="U16" s="1"/>
      <c r="V16" s="1">
        <v>1.2</v>
      </c>
      <c r="W16" s="1">
        <f>(H16*0.1)+H16</f>
        <v>0.44000000000000006</v>
      </c>
      <c r="X16" s="1">
        <f>(I16*0.35)+I16</f>
        <v>5.5349999999999993</v>
      </c>
      <c r="Y16" s="1">
        <f>(J16*0.55)+J16</f>
        <v>10.54</v>
      </c>
      <c r="Z16" s="1">
        <f>(K16*0.8)+K16</f>
        <v>8.1</v>
      </c>
      <c r="AA16" s="1">
        <f>(L16*1.05)+L16</f>
        <v>6.7649999999999997</v>
      </c>
      <c r="AB16" s="1">
        <f>(M16*1.7)+M16</f>
        <v>14.85</v>
      </c>
      <c r="AC16" s="1"/>
      <c r="AD16" s="1">
        <f>(O16*2.2)+O16</f>
        <v>12.16</v>
      </c>
      <c r="AE16" s="1">
        <f>(P16*2.3)+P16</f>
        <v>14.85</v>
      </c>
    </row>
    <row r="17" spans="1:31" ht="16" x14ac:dyDescent="0.2">
      <c r="A17" s="8" t="s">
        <v>1352</v>
      </c>
      <c r="B17" s="16" t="s">
        <v>1353</v>
      </c>
      <c r="G17" s="1"/>
      <c r="H17" s="1"/>
      <c r="I17" s="1"/>
      <c r="J17" s="1"/>
      <c r="K17" s="1">
        <v>33.299999999999997</v>
      </c>
      <c r="L17" s="1">
        <v>39.5</v>
      </c>
      <c r="M17" s="1">
        <v>27.1</v>
      </c>
      <c r="N17" s="1">
        <v>15.8</v>
      </c>
      <c r="O17" s="1">
        <v>10.5</v>
      </c>
      <c r="P17" s="1">
        <v>7.6</v>
      </c>
      <c r="Q17" s="16"/>
      <c r="R17" s="1"/>
      <c r="S17" s="1"/>
      <c r="T17" s="1"/>
      <c r="U17" s="1"/>
      <c r="V17" s="1"/>
      <c r="W17" s="1"/>
      <c r="X17" s="1"/>
      <c r="Y17" s="1"/>
      <c r="Z17" s="1">
        <v>33.299999999999997</v>
      </c>
      <c r="AA17" s="1">
        <f>(L17*0.25)+L17</f>
        <v>49.375</v>
      </c>
      <c r="AB17" s="1">
        <f>(M17*0.5)+M17</f>
        <v>40.650000000000006</v>
      </c>
      <c r="AC17" s="1">
        <f>(N17*0.75)+N17</f>
        <v>27.650000000000002</v>
      </c>
      <c r="AD17" s="1">
        <f>(O17*1)+O17</f>
        <v>21</v>
      </c>
      <c r="AE17" s="1">
        <f>(P17*1.1)+P17</f>
        <v>15.959999999999999</v>
      </c>
    </row>
    <row r="18" spans="1:31" ht="16" x14ac:dyDescent="0.2">
      <c r="A18" s="21" t="s">
        <v>625</v>
      </c>
      <c r="B18" s="16" t="s">
        <v>1139</v>
      </c>
      <c r="G18" s="1"/>
      <c r="H18" s="1"/>
      <c r="I18" s="1"/>
      <c r="J18" s="1"/>
      <c r="K18" s="1"/>
      <c r="L18" s="1">
        <v>7.6</v>
      </c>
      <c r="M18" s="1">
        <v>1.8</v>
      </c>
      <c r="N18" s="1">
        <v>4.0999999999999996</v>
      </c>
      <c r="O18" s="1">
        <v>4.5999999999999996</v>
      </c>
      <c r="P18" s="1">
        <v>3.8</v>
      </c>
      <c r="Q18" s="16"/>
      <c r="R18" s="1"/>
      <c r="S18" s="1"/>
      <c r="T18" s="1"/>
      <c r="U18" s="1"/>
      <c r="V18" s="1"/>
      <c r="W18" s="1"/>
      <c r="X18" s="1"/>
      <c r="Y18" s="1"/>
      <c r="Z18" s="1"/>
      <c r="AA18" s="1">
        <v>7.6</v>
      </c>
      <c r="AB18" s="1">
        <f>(M18*0.25)+M18</f>
        <v>2.25</v>
      </c>
      <c r="AC18" s="1">
        <f>(N18*0.5)+N18</f>
        <v>6.1499999999999995</v>
      </c>
      <c r="AD18" s="1">
        <f>(O18*0.75)+O18</f>
        <v>8.0499999999999989</v>
      </c>
      <c r="AE18" s="1">
        <f>(P18*0.85)+P18</f>
        <v>7.0299999999999994</v>
      </c>
    </row>
    <row r="19" spans="1:31" ht="16" x14ac:dyDescent="0.2">
      <c r="A19" s="21" t="s">
        <v>626</v>
      </c>
      <c r="B19" s="16" t="s">
        <v>1140</v>
      </c>
      <c r="G19" s="1"/>
      <c r="H19" s="1"/>
      <c r="I19" s="1">
        <v>3.7</v>
      </c>
      <c r="J19" s="1"/>
      <c r="K19" s="1"/>
      <c r="L19" s="1"/>
      <c r="M19" s="1"/>
      <c r="Q19" s="16"/>
      <c r="R19" s="1"/>
      <c r="S19" s="1"/>
      <c r="T19" s="1"/>
      <c r="U19" s="1"/>
      <c r="V19" s="1"/>
      <c r="W19" s="1"/>
      <c r="X19" s="1">
        <v>3.7</v>
      </c>
      <c r="Y19" s="1"/>
      <c r="Z19" s="1"/>
      <c r="AA19" s="1"/>
      <c r="AB19" s="1"/>
    </row>
    <row r="20" spans="1:31" x14ac:dyDescent="0.2">
      <c r="Q20" s="3" t="s">
        <v>14</v>
      </c>
      <c r="R20" s="1">
        <f t="shared" ref="R20:AE20" si="1">SUM(R2:R19)</f>
        <v>94.8</v>
      </c>
      <c r="S20" s="1">
        <f t="shared" si="1"/>
        <v>109.575</v>
      </c>
      <c r="T20" s="1">
        <f t="shared" si="1"/>
        <v>119.125</v>
      </c>
      <c r="U20" s="1">
        <f t="shared" si="1"/>
        <v>136.19</v>
      </c>
      <c r="V20" s="1">
        <f t="shared" si="1"/>
        <v>160.535</v>
      </c>
      <c r="W20" s="1">
        <f t="shared" si="1"/>
        <v>167.065</v>
      </c>
      <c r="X20" s="1">
        <f t="shared" si="1"/>
        <v>168.51</v>
      </c>
      <c r="Y20" s="1">
        <f t="shared" si="1"/>
        <v>185.42999999999998</v>
      </c>
      <c r="Z20" s="1">
        <f t="shared" si="1"/>
        <v>151.87</v>
      </c>
      <c r="AA20" s="1">
        <f t="shared" si="1"/>
        <v>154.72499999999999</v>
      </c>
      <c r="AB20" s="1">
        <f t="shared" si="1"/>
        <v>206.67999999999998</v>
      </c>
      <c r="AC20" s="1">
        <f t="shared" si="1"/>
        <v>151.13499999999999</v>
      </c>
      <c r="AD20" s="1">
        <f t="shared" si="1"/>
        <v>169.33500000000001</v>
      </c>
      <c r="AE20" s="1">
        <f t="shared" si="1"/>
        <v>218.98499999999999</v>
      </c>
    </row>
    <row r="22" spans="1:31" x14ac:dyDescent="0.2">
      <c r="R22" s="1">
        <v>100</v>
      </c>
      <c r="S22" s="1">
        <v>125</v>
      </c>
      <c r="T22" s="1">
        <v>150</v>
      </c>
      <c r="U22" s="1">
        <v>165</v>
      </c>
      <c r="V22" s="1">
        <v>190</v>
      </c>
      <c r="W22" s="1">
        <v>200</v>
      </c>
      <c r="X22" s="1">
        <v>225</v>
      </c>
      <c r="Y22" s="1">
        <v>245</v>
      </c>
      <c r="Z22" s="1">
        <v>270</v>
      </c>
      <c r="AA22" s="1">
        <v>295</v>
      </c>
      <c r="AB22" s="1">
        <v>320</v>
      </c>
      <c r="AC22" s="1">
        <v>345</v>
      </c>
      <c r="AD22" s="1">
        <v>370</v>
      </c>
      <c r="AE22" s="1">
        <v>380</v>
      </c>
    </row>
    <row r="24" spans="1:31" x14ac:dyDescent="0.2">
      <c r="R24" s="1">
        <f>R20</f>
        <v>94.8</v>
      </c>
      <c r="S24" s="1">
        <f>SUM(R24+S20)</f>
        <v>204.375</v>
      </c>
      <c r="T24" s="1">
        <f>SUM(S24+T20)</f>
        <v>323.5</v>
      </c>
      <c r="U24" s="1">
        <f>SUM(T24+U20)</f>
        <v>459.69</v>
      </c>
      <c r="V24" s="1">
        <f>SUM(U24+V20)</f>
        <v>620.22500000000002</v>
      </c>
      <c r="W24" s="1">
        <f>SUM(V24+W20)</f>
        <v>787.29</v>
      </c>
      <c r="X24" s="1">
        <f t="shared" ref="X24:AE24" si="2">SUM(W24+X20)</f>
        <v>955.8</v>
      </c>
      <c r="Y24" s="1">
        <f t="shared" si="2"/>
        <v>1141.23</v>
      </c>
      <c r="Z24" s="1">
        <f t="shared" si="2"/>
        <v>1293.0999999999999</v>
      </c>
      <c r="AA24" s="1">
        <f t="shared" si="2"/>
        <v>1447.8249999999998</v>
      </c>
      <c r="AB24" s="1">
        <f t="shared" si="2"/>
        <v>1654.5049999999999</v>
      </c>
      <c r="AC24" s="1">
        <f t="shared" si="2"/>
        <v>1805.6399999999999</v>
      </c>
      <c r="AD24" s="1">
        <f t="shared" si="2"/>
        <v>1974.9749999999999</v>
      </c>
      <c r="AE24" s="1">
        <f t="shared" si="2"/>
        <v>2193.96</v>
      </c>
    </row>
    <row r="25" spans="1:31" x14ac:dyDescent="0.2">
      <c r="R25" s="3"/>
      <c r="S25" s="3"/>
      <c r="T25" s="3"/>
      <c r="U25" s="3"/>
      <c r="X25" s="1"/>
      <c r="Y25" s="1"/>
      <c r="Z25" s="1"/>
      <c r="AA25" s="1"/>
      <c r="AB25" s="1"/>
    </row>
    <row r="26" spans="1:31" x14ac:dyDescent="0.2">
      <c r="R26" s="1">
        <v>100</v>
      </c>
      <c r="S26" s="1">
        <f>SUM(R26+S22)</f>
        <v>225</v>
      </c>
      <c r="T26" s="1">
        <f>SUM(S26+T22)</f>
        <v>375</v>
      </c>
      <c r="U26" s="1">
        <f>SUM(T26+U22)</f>
        <v>540</v>
      </c>
      <c r="V26" s="1">
        <f>SUM(U26+V22)</f>
        <v>730</v>
      </c>
      <c r="W26" s="1">
        <f>SUM(V26+W22)</f>
        <v>930</v>
      </c>
      <c r="X26" s="1">
        <f t="shared" ref="X26:AE26" si="3">SUM(W26+X22)</f>
        <v>1155</v>
      </c>
      <c r="Y26" s="1">
        <f t="shared" si="3"/>
        <v>1400</v>
      </c>
      <c r="Z26" s="1">
        <f t="shared" si="3"/>
        <v>1670</v>
      </c>
      <c r="AA26" s="1">
        <f t="shared" si="3"/>
        <v>1965</v>
      </c>
      <c r="AB26" s="1">
        <f t="shared" si="3"/>
        <v>2285</v>
      </c>
      <c r="AC26" s="1">
        <f t="shared" si="3"/>
        <v>2630</v>
      </c>
      <c r="AD26" s="1">
        <f t="shared" si="3"/>
        <v>3000</v>
      </c>
      <c r="AE26" s="1">
        <f t="shared" si="3"/>
        <v>3380</v>
      </c>
    </row>
    <row r="27" spans="1:31" ht="16" x14ac:dyDescent="0.2">
      <c r="A27" s="16"/>
      <c r="B27" s="16"/>
      <c r="C27" s="16"/>
    </row>
    <row r="28" spans="1:31" ht="16" x14ac:dyDescent="0.2">
      <c r="A28" s="16"/>
      <c r="B28" s="16"/>
      <c r="C28" s="16"/>
      <c r="R28" s="4" t="s">
        <v>1563</v>
      </c>
      <c r="S28" s="4" t="s">
        <v>1563</v>
      </c>
      <c r="T28" s="4" t="s">
        <v>1563</v>
      </c>
      <c r="U28" s="4" t="s">
        <v>1563</v>
      </c>
      <c r="V28" s="4" t="s">
        <v>1563</v>
      </c>
      <c r="W28" s="4" t="s">
        <v>1563</v>
      </c>
      <c r="X28" s="4" t="s">
        <v>1563</v>
      </c>
      <c r="Y28" s="4" t="s">
        <v>1563</v>
      </c>
      <c r="Z28" s="4" t="s">
        <v>1563</v>
      </c>
      <c r="AA28" s="4" t="s">
        <v>1563</v>
      </c>
      <c r="AB28" s="4" t="s">
        <v>1563</v>
      </c>
      <c r="AC28" s="4" t="s">
        <v>1563</v>
      </c>
      <c r="AD28" s="4" t="s">
        <v>1563</v>
      </c>
      <c r="AE28" s="4" t="s">
        <v>1563</v>
      </c>
    </row>
    <row r="29" spans="1:31" ht="16" x14ac:dyDescent="0.2">
      <c r="A29" s="16"/>
      <c r="B29" s="16"/>
      <c r="C29" s="16"/>
      <c r="R29" s="6">
        <f t="shared" ref="R29:AE29" si="4">(R24/R26)*100</f>
        <v>94.8</v>
      </c>
      <c r="S29" s="6">
        <f t="shared" si="4"/>
        <v>90.833333333333329</v>
      </c>
      <c r="T29" s="6">
        <f t="shared" si="4"/>
        <v>86.266666666666666</v>
      </c>
      <c r="U29" s="6">
        <f t="shared" si="4"/>
        <v>85.12777777777778</v>
      </c>
      <c r="V29" s="6">
        <f t="shared" si="4"/>
        <v>84.962328767123296</v>
      </c>
      <c r="W29" s="6">
        <f t="shared" si="4"/>
        <v>84.654838709677421</v>
      </c>
      <c r="X29" s="6">
        <f t="shared" si="4"/>
        <v>82.753246753246742</v>
      </c>
      <c r="Y29" s="6">
        <f t="shared" si="4"/>
        <v>81.516428571428563</v>
      </c>
      <c r="Z29" s="6">
        <f t="shared" si="4"/>
        <v>77.431137724550894</v>
      </c>
      <c r="AA29" s="6">
        <f t="shared" si="4"/>
        <v>73.680661577608134</v>
      </c>
      <c r="AB29" s="6">
        <f t="shared" si="4"/>
        <v>72.407221006564555</v>
      </c>
      <c r="AC29" s="6">
        <f t="shared" si="4"/>
        <v>68.655513307984791</v>
      </c>
      <c r="AD29" s="6">
        <f t="shared" si="4"/>
        <v>65.832499999999996</v>
      </c>
      <c r="AE29" s="6">
        <f t="shared" si="4"/>
        <v>64.910059171597638</v>
      </c>
    </row>
    <row r="30" spans="1:31" ht="16" x14ac:dyDescent="0.2">
      <c r="A30" s="21"/>
      <c r="B30" s="21"/>
      <c r="C30" s="16"/>
    </row>
    <row r="31" spans="1:31" ht="16" x14ac:dyDescent="0.2">
      <c r="A31" s="21"/>
      <c r="B31" s="21"/>
      <c r="C31" s="16"/>
    </row>
    <row r="32" spans="1:31" ht="16" x14ac:dyDescent="0.2">
      <c r="A32" s="21"/>
      <c r="B32" s="21"/>
      <c r="C32" s="16"/>
    </row>
    <row r="33" spans="1:3" ht="16" x14ac:dyDescent="0.2">
      <c r="A33" s="21"/>
      <c r="B33" s="21"/>
      <c r="C33" s="16"/>
    </row>
    <row r="34" spans="1:3" ht="16" x14ac:dyDescent="0.2">
      <c r="A34" s="21"/>
      <c r="B34" s="21"/>
      <c r="C34" s="16"/>
    </row>
    <row r="35" spans="1:3" ht="16" x14ac:dyDescent="0.2">
      <c r="A35" s="21"/>
      <c r="B35" s="21"/>
      <c r="C35" s="16"/>
    </row>
    <row r="36" spans="1:3" ht="16" x14ac:dyDescent="0.2">
      <c r="A36" s="21"/>
      <c r="B36" s="21"/>
      <c r="C36" s="16"/>
    </row>
    <row r="37" spans="1:3" ht="16" x14ac:dyDescent="0.2">
      <c r="A37" s="21"/>
      <c r="B37" s="21"/>
      <c r="C37" s="16"/>
    </row>
    <row r="38" spans="1:3" ht="16" x14ac:dyDescent="0.2">
      <c r="A38" s="21"/>
      <c r="B38" s="21"/>
      <c r="C38" s="16"/>
    </row>
    <row r="39" spans="1:3" ht="16" x14ac:dyDescent="0.2">
      <c r="A39" s="21"/>
      <c r="B39" s="21"/>
      <c r="C39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6"/>
  <sheetViews>
    <sheetView workbookViewId="0">
      <selection activeCell="I25" sqref="I25:M25"/>
    </sheetView>
  </sheetViews>
  <sheetFormatPr baseColWidth="10" defaultRowHeight="15" x14ac:dyDescent="0.2"/>
  <cols>
    <col min="2" max="2" width="33.83203125" customWidth="1"/>
  </cols>
  <sheetData>
    <row r="1" spans="1:13" ht="16" x14ac:dyDescent="0.2">
      <c r="A1" s="3" t="s">
        <v>15</v>
      </c>
      <c r="B1" s="24" t="s">
        <v>681</v>
      </c>
      <c r="C1" s="3">
        <v>2004</v>
      </c>
      <c r="D1" s="3">
        <v>2008</v>
      </c>
      <c r="E1" s="3">
        <v>2012</v>
      </c>
      <c r="F1" s="3">
        <v>2016</v>
      </c>
      <c r="G1" s="3">
        <v>2020</v>
      </c>
      <c r="I1" s="3">
        <v>2004</v>
      </c>
      <c r="J1" s="3">
        <v>2008</v>
      </c>
      <c r="K1" s="3">
        <v>2012</v>
      </c>
      <c r="L1" s="3">
        <v>2016</v>
      </c>
      <c r="M1" s="3">
        <v>2020</v>
      </c>
    </row>
    <row r="2" spans="1:13" ht="16" x14ac:dyDescent="0.2">
      <c r="A2" s="8" t="s">
        <v>146</v>
      </c>
      <c r="B2" s="16" t="s">
        <v>1123</v>
      </c>
      <c r="C2" s="1">
        <v>67</v>
      </c>
      <c r="D2" s="1">
        <v>59.2</v>
      </c>
      <c r="E2" s="1">
        <v>40.299999999999997</v>
      </c>
      <c r="F2" s="1">
        <v>27.1</v>
      </c>
      <c r="G2" s="1">
        <v>27.2</v>
      </c>
      <c r="I2" s="1">
        <v>67</v>
      </c>
      <c r="J2" s="1">
        <f>(D2*0.2)+D2</f>
        <v>71.040000000000006</v>
      </c>
      <c r="K2" s="1">
        <f>(E2*0.4)+E2</f>
        <v>56.42</v>
      </c>
      <c r="L2" s="1">
        <f>(F2*0.6)+F2</f>
        <v>43.36</v>
      </c>
      <c r="M2" s="1">
        <f>(G2*0.8)+G2</f>
        <v>48.96</v>
      </c>
    </row>
    <row r="3" spans="1:13" x14ac:dyDescent="0.2">
      <c r="A3" s="8" t="s">
        <v>148</v>
      </c>
      <c r="B3" s="1" t="s">
        <v>1124</v>
      </c>
      <c r="C3" s="1"/>
      <c r="D3" s="1">
        <v>17.7</v>
      </c>
      <c r="E3" s="1"/>
      <c r="F3" s="1"/>
      <c r="I3" s="1"/>
      <c r="J3" s="1">
        <v>17.7</v>
      </c>
      <c r="K3" s="1"/>
    </row>
    <row r="4" spans="1:13" ht="16" x14ac:dyDescent="0.2">
      <c r="A4" s="21" t="s">
        <v>511</v>
      </c>
      <c r="B4" s="16" t="s">
        <v>1125</v>
      </c>
      <c r="C4" s="1"/>
      <c r="D4" s="1"/>
      <c r="E4" s="1">
        <v>55</v>
      </c>
      <c r="F4" s="1">
        <v>48.7</v>
      </c>
      <c r="G4" s="1">
        <v>48.2</v>
      </c>
      <c r="I4" s="1"/>
      <c r="J4" s="1"/>
      <c r="K4" s="1">
        <v>55</v>
      </c>
      <c r="L4" s="1">
        <f>(F4*0.2)+F4</f>
        <v>58.440000000000005</v>
      </c>
      <c r="M4" s="1">
        <f>(G4*0.4)+G4</f>
        <v>67.48</v>
      </c>
    </row>
    <row r="5" spans="1:13" ht="16" x14ac:dyDescent="0.2">
      <c r="A5" s="21" t="s">
        <v>512</v>
      </c>
      <c r="B5" s="16" t="s">
        <v>1126</v>
      </c>
      <c r="C5" s="1">
        <v>7.6</v>
      </c>
      <c r="D5" s="1"/>
      <c r="E5" s="1">
        <v>0.4</v>
      </c>
      <c r="F5" s="1"/>
      <c r="I5" s="1">
        <v>7.6</v>
      </c>
      <c r="J5" s="1"/>
      <c r="K5" s="1">
        <f>(E5*0.4)+E5</f>
        <v>0.56000000000000005</v>
      </c>
    </row>
    <row r="6" spans="1:13" ht="16" x14ac:dyDescent="0.2">
      <c r="A6" s="21" t="s">
        <v>513</v>
      </c>
      <c r="B6" s="16" t="s">
        <v>1127</v>
      </c>
      <c r="C6" s="1">
        <v>6</v>
      </c>
      <c r="D6" s="1"/>
      <c r="E6" s="1"/>
      <c r="F6" s="1"/>
      <c r="I6" s="1">
        <v>6</v>
      </c>
      <c r="J6" s="1"/>
      <c r="K6" s="1"/>
    </row>
    <row r="7" spans="1:13" ht="16" x14ac:dyDescent="0.2">
      <c r="A7" s="21" t="s">
        <v>78</v>
      </c>
      <c r="B7" s="16" t="s">
        <v>1128</v>
      </c>
      <c r="C7" s="1">
        <v>4.2</v>
      </c>
      <c r="D7" s="1"/>
      <c r="E7" s="1">
        <v>0.1</v>
      </c>
      <c r="F7" s="1"/>
      <c r="I7" s="1">
        <v>4.2</v>
      </c>
      <c r="J7" s="1"/>
      <c r="K7" s="1">
        <f>(E7*0.4)+E7</f>
        <v>0.14000000000000001</v>
      </c>
    </row>
    <row r="8" spans="1:13" ht="16" x14ac:dyDescent="0.2">
      <c r="A8" s="21" t="s">
        <v>297</v>
      </c>
      <c r="B8" s="16" t="s">
        <v>1129</v>
      </c>
      <c r="C8" s="1">
        <v>5.8</v>
      </c>
      <c r="D8" s="1">
        <v>7.4</v>
      </c>
      <c r="E8" s="1">
        <v>1.2</v>
      </c>
      <c r="F8" s="1">
        <v>3.1</v>
      </c>
      <c r="G8" s="1">
        <v>1</v>
      </c>
      <c r="I8" s="1">
        <v>5.8</v>
      </c>
      <c r="J8" s="1">
        <f>(D8*0.2)+D8</f>
        <v>8.8800000000000008</v>
      </c>
      <c r="K8" s="1">
        <f>(E8*0.2)+E8</f>
        <v>1.44</v>
      </c>
      <c r="L8" s="1">
        <f>(F8*0.6)+F8</f>
        <v>4.96</v>
      </c>
      <c r="M8" s="1">
        <f>(G8*0.8)+G8</f>
        <v>1.8</v>
      </c>
    </row>
    <row r="9" spans="1:13" ht="16" x14ac:dyDescent="0.2">
      <c r="A9" s="21" t="s">
        <v>514</v>
      </c>
      <c r="B9" s="16" t="s">
        <v>1130</v>
      </c>
      <c r="C9" s="1"/>
      <c r="D9" s="1">
        <v>8.6999999999999993</v>
      </c>
      <c r="E9" s="1">
        <v>2.1</v>
      </c>
      <c r="F9" s="1"/>
      <c r="I9" s="1"/>
      <c r="J9" s="1">
        <v>8.6999999999999993</v>
      </c>
      <c r="K9" s="1">
        <f>(E9*0.2)+E9</f>
        <v>2.52</v>
      </c>
    </row>
    <row r="10" spans="1:13" ht="16" x14ac:dyDescent="0.2">
      <c r="A10" s="21" t="s">
        <v>1321</v>
      </c>
      <c r="B10" s="16" t="s">
        <v>1322</v>
      </c>
      <c r="C10" s="1"/>
      <c r="D10" s="1"/>
      <c r="E10" s="1"/>
      <c r="F10" s="1">
        <v>3.5</v>
      </c>
      <c r="G10" s="1">
        <v>0.9</v>
      </c>
      <c r="I10" s="1"/>
      <c r="J10" s="1"/>
      <c r="K10" s="1"/>
      <c r="L10" s="1">
        <v>3.5</v>
      </c>
      <c r="M10" s="1">
        <f>(G10*0.2)+G10</f>
        <v>1.08</v>
      </c>
    </row>
    <row r="11" spans="1:13" ht="16" x14ac:dyDescent="0.2">
      <c r="A11" s="21" t="s">
        <v>1319</v>
      </c>
      <c r="B11" s="16" t="s">
        <v>1320</v>
      </c>
      <c r="C11" s="1"/>
      <c r="D11" s="1"/>
      <c r="E11" s="1"/>
      <c r="F11" s="3">
        <v>4.5999999999999996</v>
      </c>
      <c r="G11" s="1">
        <v>0.3</v>
      </c>
      <c r="I11" s="1"/>
      <c r="J11" s="1"/>
      <c r="K11" s="1"/>
      <c r="L11" s="1">
        <f>(F11*0.2)+F11</f>
        <v>5.52</v>
      </c>
      <c r="M11" s="1">
        <f>(G11*0.4)+G11</f>
        <v>0.42</v>
      </c>
    </row>
    <row r="12" spans="1:13" ht="16" x14ac:dyDescent="0.2">
      <c r="A12" s="21" t="s">
        <v>1440</v>
      </c>
      <c r="B12" s="16" t="s">
        <v>1441</v>
      </c>
      <c r="C12" s="1"/>
      <c r="D12" s="1"/>
      <c r="E12" s="1"/>
      <c r="F12" s="3"/>
      <c r="G12" s="1">
        <v>3.8</v>
      </c>
      <c r="I12" s="1"/>
      <c r="J12" s="1"/>
      <c r="K12" s="1"/>
      <c r="L12" s="1"/>
      <c r="M12" s="1">
        <v>3.8</v>
      </c>
    </row>
    <row r="13" spans="1:13" ht="16" x14ac:dyDescent="0.2">
      <c r="A13" s="21" t="s">
        <v>1444</v>
      </c>
      <c r="B13" s="16" t="s">
        <v>1442</v>
      </c>
      <c r="C13" s="1"/>
      <c r="D13" s="1"/>
      <c r="E13" s="1"/>
      <c r="F13" s="3"/>
      <c r="G13" s="1">
        <v>3.2</v>
      </c>
      <c r="I13" s="1"/>
      <c r="J13" s="1"/>
      <c r="K13" s="1"/>
      <c r="L13" s="1"/>
      <c r="M13" s="1">
        <v>3.2</v>
      </c>
    </row>
    <row r="14" spans="1:13" ht="16" x14ac:dyDescent="0.2">
      <c r="A14" s="21" t="s">
        <v>1445</v>
      </c>
      <c r="B14" s="16" t="s">
        <v>1443</v>
      </c>
      <c r="C14" s="1"/>
      <c r="D14" s="1"/>
      <c r="E14" s="1"/>
      <c r="F14" s="1">
        <v>3.5</v>
      </c>
      <c r="G14" s="1">
        <v>3.2</v>
      </c>
      <c r="I14" s="1"/>
      <c r="J14" s="1"/>
      <c r="K14" s="1"/>
      <c r="L14" s="1">
        <v>3.5</v>
      </c>
      <c r="M14" s="1">
        <f>(G14*0.2)+G14</f>
        <v>3.8400000000000003</v>
      </c>
    </row>
    <row r="15" spans="1:13" ht="16" x14ac:dyDescent="0.2">
      <c r="A15" s="21" t="s">
        <v>1317</v>
      </c>
      <c r="B15" s="16" t="s">
        <v>1318</v>
      </c>
      <c r="C15" s="1"/>
      <c r="D15" s="1"/>
      <c r="E15" s="1"/>
      <c r="F15" s="1">
        <v>5</v>
      </c>
      <c r="G15" s="1">
        <v>3.1</v>
      </c>
      <c r="I15" s="1"/>
      <c r="J15" s="1"/>
      <c r="K15" s="1"/>
      <c r="L15" s="1">
        <v>5</v>
      </c>
      <c r="M15" s="1">
        <f>(G15*0.2)+G15</f>
        <v>3.72</v>
      </c>
    </row>
    <row r="16" spans="1:13" ht="16" x14ac:dyDescent="0.2">
      <c r="A16" s="8" t="s">
        <v>147</v>
      </c>
      <c r="B16" s="16" t="s">
        <v>1131</v>
      </c>
      <c r="C16" s="1"/>
      <c r="D16" s="1">
        <v>3.8</v>
      </c>
      <c r="F16" s="1">
        <v>1.6</v>
      </c>
      <c r="I16" s="1"/>
      <c r="J16" s="1">
        <v>3.8</v>
      </c>
      <c r="L16" s="1">
        <f>(F16*0.4)+F16</f>
        <v>2.2400000000000002</v>
      </c>
      <c r="M16" s="4"/>
    </row>
    <row r="17" spans="1:13" x14ac:dyDescent="0.2">
      <c r="H17" s="3" t="s">
        <v>14</v>
      </c>
      <c r="I17" s="1">
        <f>SUM(I2:I16)</f>
        <v>90.6</v>
      </c>
      <c r="J17" s="1">
        <f>SUM(J2:J16)</f>
        <v>110.12</v>
      </c>
      <c r="K17" s="1">
        <f>SUM(K2:K16)</f>
        <v>116.08</v>
      </c>
      <c r="L17" s="1">
        <f>SUM(L2:L16)</f>
        <v>126.52</v>
      </c>
      <c r="M17" s="1">
        <f>SUM(M2:M16)</f>
        <v>134.29999999999998</v>
      </c>
    </row>
    <row r="19" spans="1:13" x14ac:dyDescent="0.2">
      <c r="I19" s="1">
        <v>100</v>
      </c>
      <c r="J19" s="1">
        <v>120</v>
      </c>
      <c r="K19" s="1">
        <v>140</v>
      </c>
      <c r="L19" s="1">
        <v>160</v>
      </c>
      <c r="M19" s="1">
        <v>180</v>
      </c>
    </row>
    <row r="21" spans="1:13" x14ac:dyDescent="0.2">
      <c r="I21" s="1">
        <f>I17</f>
        <v>90.6</v>
      </c>
      <c r="J21" s="1">
        <f>SUM(I21+J17)</f>
        <v>200.72</v>
      </c>
      <c r="K21" s="1">
        <f>SUM(J21+K17)</f>
        <v>316.8</v>
      </c>
      <c r="L21" s="1">
        <f>SUM(K21+L17)</f>
        <v>443.32</v>
      </c>
      <c r="M21" s="1">
        <f>SUM(L21+M17)</f>
        <v>577.62</v>
      </c>
    </row>
    <row r="22" spans="1:13" x14ac:dyDescent="0.2">
      <c r="I22" s="3"/>
      <c r="J22" s="3"/>
      <c r="K22" s="3"/>
    </row>
    <row r="23" spans="1:13" x14ac:dyDescent="0.2">
      <c r="I23" s="1">
        <v>100</v>
      </c>
      <c r="J23" s="1">
        <f>SUM(I23+J19)</f>
        <v>220</v>
      </c>
      <c r="K23" s="1">
        <f>SUM(J23+K19)</f>
        <v>360</v>
      </c>
      <c r="L23" s="1">
        <f>SUM(K23+L19)</f>
        <v>520</v>
      </c>
      <c r="M23" s="1">
        <f>SUM(L23+M19)</f>
        <v>700</v>
      </c>
    </row>
    <row r="25" spans="1:13" x14ac:dyDescent="0.2">
      <c r="I25" s="4" t="s">
        <v>1563</v>
      </c>
      <c r="J25" s="4" t="s">
        <v>1563</v>
      </c>
      <c r="K25" s="4" t="s">
        <v>1563</v>
      </c>
      <c r="L25" s="4" t="s">
        <v>1563</v>
      </c>
      <c r="M25" s="4" t="s">
        <v>1563</v>
      </c>
    </row>
    <row r="26" spans="1:13" ht="16" x14ac:dyDescent="0.2">
      <c r="A26" s="21"/>
      <c r="B26" s="21"/>
      <c r="C26" s="22"/>
      <c r="E26" s="16"/>
      <c r="F26" s="16"/>
      <c r="I26" s="6">
        <f>(I21/I23)*100</f>
        <v>90.6</v>
      </c>
      <c r="J26" s="6">
        <f>(J21/J23)*100</f>
        <v>91.236363636363635</v>
      </c>
      <c r="K26" s="6">
        <f>(K21/K23)*100</f>
        <v>88</v>
      </c>
      <c r="L26" s="6">
        <f>(L21/L23)*100</f>
        <v>85.253846153846155</v>
      </c>
      <c r="M26" s="6">
        <f>(M21/M23)*100</f>
        <v>82.517142857142858</v>
      </c>
    </row>
    <row r="27" spans="1:13" ht="16" x14ac:dyDescent="0.2">
      <c r="A27" s="21"/>
      <c r="B27" s="21"/>
      <c r="C27" s="22"/>
      <c r="E27" s="16"/>
      <c r="F27" s="16"/>
      <c r="H27" s="1"/>
    </row>
    <row r="28" spans="1:13" ht="16" x14ac:dyDescent="0.2">
      <c r="A28" s="21"/>
      <c r="B28" s="21"/>
      <c r="C28" s="22"/>
      <c r="E28" s="16"/>
      <c r="F28" s="16"/>
      <c r="H28" s="1"/>
    </row>
    <row r="29" spans="1:13" ht="16" x14ac:dyDescent="0.2">
      <c r="A29" s="21"/>
      <c r="B29" s="21"/>
      <c r="C29" s="22"/>
      <c r="E29" s="16"/>
      <c r="F29" s="16"/>
      <c r="H29" s="1"/>
    </row>
    <row r="30" spans="1:13" ht="16" x14ac:dyDescent="0.2">
      <c r="A30" s="21"/>
      <c r="B30" s="21"/>
      <c r="C30" s="22"/>
      <c r="E30" s="16"/>
      <c r="F30" s="16"/>
      <c r="H30" s="1"/>
    </row>
    <row r="31" spans="1:13" ht="16" x14ac:dyDescent="0.2">
      <c r="A31" s="21"/>
      <c r="B31" s="21"/>
      <c r="C31" s="22"/>
      <c r="E31" s="16"/>
      <c r="F31" s="16"/>
      <c r="H31" s="1"/>
    </row>
    <row r="32" spans="1:13" ht="16" x14ac:dyDescent="0.2">
      <c r="A32" s="21"/>
      <c r="B32" s="21"/>
      <c r="C32" s="22"/>
      <c r="E32" s="16"/>
      <c r="F32" s="16"/>
      <c r="H32" s="1"/>
    </row>
    <row r="33" spans="1:8" ht="16" x14ac:dyDescent="0.2">
      <c r="A33" s="21"/>
      <c r="B33" s="21"/>
      <c r="C33" s="22"/>
      <c r="E33" s="16"/>
      <c r="F33" s="16"/>
      <c r="H33" s="1"/>
    </row>
    <row r="34" spans="1:8" ht="16" x14ac:dyDescent="0.2">
      <c r="A34" s="21"/>
      <c r="B34" s="21"/>
      <c r="C34" s="22"/>
      <c r="E34" s="16"/>
      <c r="F34" s="16"/>
      <c r="H34" s="1"/>
    </row>
    <row r="35" spans="1:8" ht="16" x14ac:dyDescent="0.2">
      <c r="A35" s="21"/>
      <c r="B35" s="21"/>
      <c r="C35" s="16"/>
      <c r="E35" s="16"/>
      <c r="F35" s="16"/>
      <c r="H35" s="1"/>
    </row>
    <row r="36" spans="1:8" ht="16" x14ac:dyDescent="0.2">
      <c r="A36" s="15"/>
      <c r="B36" s="15"/>
      <c r="C36" s="1"/>
      <c r="E36" s="1"/>
      <c r="F36" s="1"/>
      <c r="H36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47"/>
  <sheetViews>
    <sheetView topLeftCell="C1" workbookViewId="0">
      <selection activeCell="M21" sqref="M21:T21"/>
    </sheetView>
  </sheetViews>
  <sheetFormatPr baseColWidth="10" defaultRowHeight="15" x14ac:dyDescent="0.2"/>
  <cols>
    <col min="2" max="2" width="42.6640625" customWidth="1"/>
  </cols>
  <sheetData>
    <row r="1" spans="1:25" ht="16" x14ac:dyDescent="0.2">
      <c r="A1" s="3" t="s">
        <v>15</v>
      </c>
      <c r="B1" s="24" t="s">
        <v>681</v>
      </c>
      <c r="C1" s="3">
        <v>1919</v>
      </c>
      <c r="D1" s="3">
        <v>1920</v>
      </c>
      <c r="E1" s="3" t="s">
        <v>234</v>
      </c>
      <c r="F1" s="3" t="s">
        <v>233</v>
      </c>
      <c r="G1" s="3">
        <v>1928</v>
      </c>
      <c r="H1" s="3">
        <v>1930</v>
      </c>
      <c r="I1" s="3" t="s">
        <v>412</v>
      </c>
      <c r="J1" s="3" t="s">
        <v>413</v>
      </c>
      <c r="L1" s="3"/>
      <c r="M1" s="3">
        <v>1919</v>
      </c>
      <c r="N1" s="3">
        <v>1920</v>
      </c>
      <c r="O1" s="3" t="s">
        <v>234</v>
      </c>
      <c r="P1" s="3" t="s">
        <v>233</v>
      </c>
      <c r="Q1" s="3">
        <v>1928</v>
      </c>
      <c r="R1" s="3">
        <v>1930</v>
      </c>
      <c r="S1" s="3" t="s">
        <v>412</v>
      </c>
      <c r="T1" s="3" t="s">
        <v>413</v>
      </c>
      <c r="U1" s="3"/>
      <c r="V1" s="3"/>
      <c r="W1" s="3"/>
    </row>
    <row r="2" spans="1:25" ht="16" x14ac:dyDescent="0.2">
      <c r="A2" s="8" t="s">
        <v>235</v>
      </c>
      <c r="B2" s="16" t="s">
        <v>1114</v>
      </c>
      <c r="C2" s="1">
        <v>37.9</v>
      </c>
      <c r="D2" s="1">
        <v>21.7</v>
      </c>
      <c r="E2" s="1">
        <v>20.5</v>
      </c>
      <c r="F2" s="1">
        <v>26</v>
      </c>
      <c r="G2" s="1">
        <v>29.8</v>
      </c>
      <c r="H2" s="1">
        <v>24.5</v>
      </c>
      <c r="I2" s="1">
        <v>21.6</v>
      </c>
      <c r="J2" s="1">
        <v>20.399999999999999</v>
      </c>
      <c r="L2" s="1"/>
      <c r="M2" s="1">
        <v>37.9</v>
      </c>
      <c r="N2" s="1">
        <f>(D2*0.05)+D2</f>
        <v>22.785</v>
      </c>
      <c r="O2" s="1">
        <f>(E2*0.25)+E2</f>
        <v>25.625</v>
      </c>
      <c r="P2" s="1">
        <f>(F2*0.25)+F2</f>
        <v>32.5</v>
      </c>
      <c r="Q2" s="1">
        <f>(G2*0.45)+G2</f>
        <v>43.21</v>
      </c>
      <c r="R2" s="1">
        <f>(H2*0.55)+H2</f>
        <v>37.975000000000001</v>
      </c>
      <c r="S2" s="1">
        <f>(I2*0.65)+I2</f>
        <v>35.64</v>
      </c>
      <c r="T2" s="1">
        <f>(J2*0.65)+J2</f>
        <v>33.659999999999997</v>
      </c>
      <c r="U2" s="1"/>
      <c r="V2" s="1"/>
      <c r="W2" s="1"/>
    </row>
    <row r="3" spans="1:25" ht="16" x14ac:dyDescent="0.2">
      <c r="A3" s="8" t="s">
        <v>236</v>
      </c>
      <c r="B3" s="16" t="s">
        <v>765</v>
      </c>
      <c r="C3" s="1">
        <v>19.7</v>
      </c>
      <c r="D3" s="1">
        <v>13.6</v>
      </c>
      <c r="E3" s="1">
        <v>13.4</v>
      </c>
      <c r="F3" s="1">
        <v>13.6</v>
      </c>
      <c r="G3" s="1">
        <v>12.1</v>
      </c>
      <c r="H3" s="1">
        <v>11.8</v>
      </c>
      <c r="I3" s="1">
        <v>12.4</v>
      </c>
      <c r="J3" s="1">
        <v>11.9</v>
      </c>
      <c r="L3" s="1"/>
      <c r="M3" s="1">
        <v>19.7</v>
      </c>
      <c r="N3" s="1">
        <f t="shared" ref="N3:N7" si="0">(D3*0.05)+D3</f>
        <v>14.28</v>
      </c>
      <c r="O3" s="1">
        <f t="shared" ref="O3:O7" si="1">(E3*0.25)+E3</f>
        <v>16.75</v>
      </c>
      <c r="P3" s="1">
        <f t="shared" ref="P3:P7" si="2">(F3*0.25)+F3</f>
        <v>17</v>
      </c>
      <c r="Q3" s="1">
        <f t="shared" ref="Q3:Q7" si="3">(G3*0.45)+G3</f>
        <v>17.545000000000002</v>
      </c>
      <c r="R3" s="1">
        <f t="shared" ref="R3:R7" si="4">(H3*0.55)+H3</f>
        <v>18.290000000000003</v>
      </c>
      <c r="S3" s="1">
        <f t="shared" ref="S3:S7" si="5">(I3*0.65)+I3</f>
        <v>20.46</v>
      </c>
      <c r="T3" s="1">
        <f t="shared" ref="T3:T7" si="6">(J3*0.65)+J3</f>
        <v>19.635000000000002</v>
      </c>
      <c r="U3" s="1"/>
      <c r="V3" s="1"/>
      <c r="W3" s="1"/>
    </row>
    <row r="4" spans="1:25" ht="16" x14ac:dyDescent="0.2">
      <c r="A4" s="8" t="s">
        <v>237</v>
      </c>
      <c r="B4" s="16" t="s">
        <v>1115</v>
      </c>
      <c r="C4" s="1">
        <v>18.600000000000001</v>
      </c>
      <c r="D4" s="1">
        <v>8.3000000000000007</v>
      </c>
      <c r="E4" s="1">
        <v>5.7</v>
      </c>
      <c r="F4" s="1">
        <v>6.3</v>
      </c>
      <c r="G4" s="1">
        <v>4.8</v>
      </c>
      <c r="H4" s="1">
        <v>3.8</v>
      </c>
      <c r="I4" s="1">
        <v>1</v>
      </c>
      <c r="J4" s="1">
        <v>1</v>
      </c>
      <c r="L4" s="1"/>
      <c r="M4" s="1">
        <v>18.600000000000001</v>
      </c>
      <c r="N4" s="1">
        <f t="shared" si="0"/>
        <v>8.7149999999999999</v>
      </c>
      <c r="O4" s="1">
        <f t="shared" si="1"/>
        <v>7.125</v>
      </c>
      <c r="P4" s="1">
        <f t="shared" si="2"/>
        <v>7.875</v>
      </c>
      <c r="Q4" s="1">
        <f t="shared" si="3"/>
        <v>6.96</v>
      </c>
      <c r="R4" s="1">
        <f t="shared" si="4"/>
        <v>5.89</v>
      </c>
      <c r="S4" s="1">
        <f t="shared" si="5"/>
        <v>1.65</v>
      </c>
      <c r="T4" s="1">
        <f t="shared" si="6"/>
        <v>1.65</v>
      </c>
      <c r="U4" s="1"/>
      <c r="V4" s="1"/>
      <c r="W4" s="1"/>
    </row>
    <row r="5" spans="1:25" ht="16" x14ac:dyDescent="0.2">
      <c r="A5" s="8" t="s">
        <v>238</v>
      </c>
      <c r="B5" s="16" t="s">
        <v>1116</v>
      </c>
      <c r="C5" s="1">
        <v>10.3</v>
      </c>
      <c r="D5" s="1">
        <v>15.1</v>
      </c>
      <c r="E5" s="1">
        <v>19.5</v>
      </c>
      <c r="F5" s="1">
        <v>20.5</v>
      </c>
      <c r="G5" s="1">
        <v>14.3</v>
      </c>
      <c r="H5" s="1">
        <v>7</v>
      </c>
      <c r="I5" s="1">
        <v>5.9</v>
      </c>
      <c r="J5" s="1">
        <v>8.3000000000000007</v>
      </c>
      <c r="L5" s="1"/>
      <c r="M5" s="1">
        <v>10.3</v>
      </c>
      <c r="N5" s="1">
        <f t="shared" si="0"/>
        <v>15.855</v>
      </c>
      <c r="O5" s="1">
        <f t="shared" si="1"/>
        <v>24.375</v>
      </c>
      <c r="P5" s="1">
        <f t="shared" si="2"/>
        <v>25.625</v>
      </c>
      <c r="Q5" s="1">
        <f t="shared" si="3"/>
        <v>20.734999999999999</v>
      </c>
      <c r="R5" s="1">
        <f t="shared" si="4"/>
        <v>10.850000000000001</v>
      </c>
      <c r="S5" s="1">
        <f t="shared" si="5"/>
        <v>9.7350000000000012</v>
      </c>
      <c r="T5" s="1">
        <f t="shared" si="6"/>
        <v>13.695</v>
      </c>
      <c r="U5" s="1"/>
      <c r="V5" s="1"/>
      <c r="W5" s="1"/>
    </row>
    <row r="6" spans="1:25" ht="16" x14ac:dyDescent="0.2">
      <c r="A6" s="8" t="s">
        <v>239</v>
      </c>
      <c r="B6" s="16" t="s">
        <v>1117</v>
      </c>
      <c r="C6" s="1">
        <v>7.6</v>
      </c>
      <c r="D6" s="1">
        <v>17.899999999999999</v>
      </c>
      <c r="E6" s="1"/>
      <c r="F6" s="1"/>
      <c r="G6" s="1"/>
      <c r="H6" s="1"/>
      <c r="I6" s="1"/>
      <c r="J6" s="1"/>
      <c r="L6" s="1"/>
      <c r="M6" s="1">
        <v>7.6</v>
      </c>
      <c r="N6" s="1">
        <f t="shared" si="0"/>
        <v>18.794999999999998</v>
      </c>
      <c r="O6" s="1"/>
      <c r="P6" s="1"/>
      <c r="Q6" s="1"/>
      <c r="R6" s="1"/>
      <c r="S6" s="1"/>
      <c r="T6" s="1"/>
      <c r="U6" s="1"/>
      <c r="V6" s="1"/>
      <c r="W6" s="1"/>
    </row>
    <row r="7" spans="1:25" ht="16" x14ac:dyDescent="0.2">
      <c r="A7" s="8" t="s">
        <v>240</v>
      </c>
      <c r="B7" s="16" t="s">
        <v>1118</v>
      </c>
      <c r="C7" s="1">
        <v>4.4000000000000004</v>
      </c>
      <c r="D7" s="1">
        <v>13.9</v>
      </c>
      <c r="E7" s="1">
        <v>9.1999999999999993</v>
      </c>
      <c r="F7" s="1">
        <v>10.1</v>
      </c>
      <c r="G7" s="1">
        <v>8.6999999999999993</v>
      </c>
      <c r="H7" s="1">
        <v>4.5</v>
      </c>
      <c r="I7" s="1">
        <v>1.2</v>
      </c>
      <c r="J7" s="1">
        <v>1.9</v>
      </c>
      <c r="L7" s="1"/>
      <c r="M7" s="1">
        <v>4.4000000000000004</v>
      </c>
      <c r="N7" s="1">
        <f t="shared" si="0"/>
        <v>14.595000000000001</v>
      </c>
      <c r="O7" s="1">
        <f t="shared" si="1"/>
        <v>11.5</v>
      </c>
      <c r="P7" s="1">
        <f t="shared" si="2"/>
        <v>12.625</v>
      </c>
      <c r="Q7" s="1">
        <f t="shared" si="3"/>
        <v>12.614999999999998</v>
      </c>
      <c r="R7" s="1">
        <f t="shared" si="4"/>
        <v>6.9749999999999996</v>
      </c>
      <c r="S7" s="1">
        <f t="shared" si="5"/>
        <v>1.98</v>
      </c>
      <c r="T7" s="1">
        <f t="shared" si="6"/>
        <v>3.1349999999999998</v>
      </c>
      <c r="U7" s="1"/>
      <c r="V7" s="1"/>
      <c r="W7" s="1"/>
    </row>
    <row r="8" spans="1:25" ht="16" x14ac:dyDescent="0.2">
      <c r="A8" s="8" t="s">
        <v>241</v>
      </c>
      <c r="B8" s="16" t="s">
        <v>1119</v>
      </c>
      <c r="C8" s="1"/>
      <c r="D8" s="1">
        <v>4.2</v>
      </c>
      <c r="E8" s="1">
        <v>3.2</v>
      </c>
      <c r="F8" s="1">
        <v>3.7</v>
      </c>
      <c r="G8" s="1">
        <v>3.1</v>
      </c>
      <c r="H8" s="1">
        <v>3</v>
      </c>
      <c r="I8" s="1">
        <v>3.2</v>
      </c>
      <c r="J8" s="1">
        <v>3.1</v>
      </c>
      <c r="L8" s="1"/>
      <c r="M8" s="1"/>
      <c r="N8" s="1">
        <v>4.2</v>
      </c>
      <c r="O8" s="1">
        <f>(E8*0.2)+E8</f>
        <v>3.8400000000000003</v>
      </c>
      <c r="P8" s="1">
        <f>(F8*0.2)+F8</f>
        <v>4.4400000000000004</v>
      </c>
      <c r="Q8" s="1">
        <f>(G8*0.4)+G8</f>
        <v>4.34</v>
      </c>
      <c r="R8" s="1">
        <f>(H8*0.5)+H8</f>
        <v>4.5</v>
      </c>
      <c r="S8" s="1">
        <f>(I8*0.6)+I8</f>
        <v>5.12</v>
      </c>
      <c r="T8" s="1">
        <f>(J8*0.6)+J8</f>
        <v>4.96</v>
      </c>
      <c r="U8" s="1"/>
      <c r="V8" s="1"/>
      <c r="W8" s="1"/>
    </row>
    <row r="9" spans="1:25" ht="16" x14ac:dyDescent="0.2">
      <c r="A9" s="8" t="s">
        <v>242</v>
      </c>
      <c r="B9" s="16" t="s">
        <v>1112</v>
      </c>
      <c r="C9" s="1"/>
      <c r="D9" s="1">
        <v>2.1</v>
      </c>
      <c r="E9" s="1">
        <v>12.6</v>
      </c>
      <c r="F9" s="1">
        <v>8.9</v>
      </c>
      <c r="G9" s="1">
        <v>10.6</v>
      </c>
      <c r="H9" s="1">
        <v>13.1</v>
      </c>
      <c r="I9" s="1">
        <v>14.3</v>
      </c>
      <c r="J9" s="1">
        <v>16.899999999999999</v>
      </c>
      <c r="L9" s="1"/>
      <c r="M9" s="1"/>
      <c r="N9" s="1">
        <v>2.1</v>
      </c>
      <c r="O9" s="1">
        <f>(E9*0.2)+E9</f>
        <v>15.12</v>
      </c>
      <c r="P9" s="1">
        <f>(F9*0.2)+F9</f>
        <v>10.68</v>
      </c>
      <c r="Q9" s="1">
        <f>(G9*0.4)+G9</f>
        <v>14.84</v>
      </c>
      <c r="R9" s="1">
        <f>(H9*0.5)+H9</f>
        <v>19.649999999999999</v>
      </c>
      <c r="S9" s="1">
        <f>(I9*0.6)+I9</f>
        <v>22.880000000000003</v>
      </c>
      <c r="T9" s="1">
        <f>(J9*0.6)+J9</f>
        <v>27.04</v>
      </c>
      <c r="U9" s="1"/>
      <c r="V9" s="1"/>
      <c r="W9" s="1"/>
    </row>
    <row r="10" spans="1:25" ht="16" x14ac:dyDescent="0.2">
      <c r="A10" s="25" t="s">
        <v>518</v>
      </c>
      <c r="B10" s="16" t="s">
        <v>1120</v>
      </c>
      <c r="C10" s="1"/>
      <c r="D10" s="1"/>
      <c r="E10" s="1">
        <v>1.7</v>
      </c>
      <c r="F10" s="1">
        <v>2.2999999999999998</v>
      </c>
      <c r="G10" s="1">
        <v>4.5</v>
      </c>
      <c r="H10" s="1">
        <v>3.9</v>
      </c>
      <c r="I10" s="1">
        <v>0.4</v>
      </c>
      <c r="J10" s="1">
        <v>0.3</v>
      </c>
      <c r="L10" s="1"/>
      <c r="M10" s="1"/>
      <c r="N10" s="1"/>
      <c r="O10" s="1">
        <v>1.7</v>
      </c>
      <c r="P10" s="1">
        <v>2.2999999999999998</v>
      </c>
      <c r="Q10" s="1">
        <f>(G10*0.2)+G10</f>
        <v>5.4</v>
      </c>
      <c r="R10" s="1">
        <f>(H10*0.3)+H10</f>
        <v>5.07</v>
      </c>
      <c r="S10" s="1">
        <f>(I10*0.4)+I10</f>
        <v>0.56000000000000005</v>
      </c>
      <c r="T10" s="1">
        <f>(J10*0.4)+J10</f>
        <v>0.42</v>
      </c>
      <c r="U10" s="1"/>
      <c r="V10" s="1"/>
      <c r="W10" s="1"/>
    </row>
    <row r="11" spans="1:25" ht="16" x14ac:dyDescent="0.2">
      <c r="A11" s="8" t="s">
        <v>245</v>
      </c>
      <c r="B11" s="16" t="s">
        <v>1121</v>
      </c>
      <c r="C11" s="1"/>
      <c r="D11" s="1"/>
      <c r="E11" s="1">
        <v>6.6</v>
      </c>
      <c r="F11" s="1">
        <v>3</v>
      </c>
      <c r="G11" s="1">
        <v>2.6</v>
      </c>
      <c r="H11" s="1">
        <v>18.3</v>
      </c>
      <c r="I11" s="1">
        <v>37.299999999999997</v>
      </c>
      <c r="J11" s="1">
        <v>33.1</v>
      </c>
      <c r="L11" s="1"/>
      <c r="M11" s="1"/>
      <c r="N11" s="1"/>
      <c r="O11" s="1">
        <v>6.6</v>
      </c>
      <c r="P11" s="1">
        <v>3</v>
      </c>
      <c r="Q11" s="1">
        <f>(G11*0.2)+G11</f>
        <v>3.12</v>
      </c>
      <c r="R11" s="1">
        <f>(H11*0.3)+H11</f>
        <v>23.79</v>
      </c>
      <c r="S11" s="1">
        <f>(I11*0.4)+I11</f>
        <v>52.22</v>
      </c>
      <c r="T11" s="1">
        <f>(J11*0.4)+J11</f>
        <v>46.34</v>
      </c>
      <c r="U11" s="1"/>
      <c r="V11" s="1"/>
      <c r="W11" s="1"/>
    </row>
    <row r="12" spans="1:25" ht="16" x14ac:dyDescent="0.2">
      <c r="A12" s="8" t="s">
        <v>244</v>
      </c>
      <c r="B12" s="16" t="s">
        <v>1122</v>
      </c>
      <c r="C12" s="1"/>
      <c r="D12" s="1"/>
      <c r="E12" s="1"/>
      <c r="F12" s="1"/>
      <c r="G12" s="1">
        <v>1.9</v>
      </c>
      <c r="H12" s="1">
        <v>3.2</v>
      </c>
      <c r="I12" s="1">
        <v>0.3</v>
      </c>
      <c r="J12" s="1">
        <v>0.1</v>
      </c>
      <c r="M12" s="1"/>
      <c r="N12" s="1"/>
      <c r="O12" s="1"/>
      <c r="P12" s="1"/>
      <c r="Q12" s="1">
        <v>1.9</v>
      </c>
      <c r="R12" s="1">
        <f>(H12*0.1)+H12</f>
        <v>3.5200000000000005</v>
      </c>
      <c r="S12" s="1">
        <f>(I12*0.2)+I12</f>
        <v>0.36</v>
      </c>
      <c r="T12" s="1">
        <f>(J12*0.2)+J12</f>
        <v>0.12000000000000001</v>
      </c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" t="s">
        <v>14</v>
      </c>
      <c r="M13" s="1">
        <f t="shared" ref="M13:T13" si="7">SUM(M2:M12)</f>
        <v>98.499999999999986</v>
      </c>
      <c r="N13" s="1">
        <f t="shared" si="7"/>
        <v>101.325</v>
      </c>
      <c r="O13" s="1">
        <f t="shared" si="7"/>
        <v>112.63500000000001</v>
      </c>
      <c r="P13" s="1">
        <f t="shared" si="7"/>
        <v>116.045</v>
      </c>
      <c r="Q13" s="1">
        <f t="shared" si="7"/>
        <v>130.66500000000002</v>
      </c>
      <c r="R13" s="1">
        <f t="shared" si="7"/>
        <v>136.51</v>
      </c>
      <c r="S13" s="1">
        <f t="shared" si="7"/>
        <v>150.60500000000002</v>
      </c>
      <c r="T13" s="1">
        <f t="shared" si="7"/>
        <v>150.65500000000003</v>
      </c>
      <c r="U13" s="1"/>
      <c r="V13" s="5"/>
      <c r="W13" s="1"/>
    </row>
    <row r="14" spans="1:25" x14ac:dyDescent="0.2">
      <c r="A14" s="7"/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"/>
      <c r="Y14" s="1"/>
    </row>
    <row r="15" spans="1:25" ht="16" x14ac:dyDescent="0.2">
      <c r="A15" s="21"/>
      <c r="B15" s="21"/>
      <c r="C15" s="16"/>
      <c r="D15" s="1"/>
      <c r="E15" s="1"/>
      <c r="F15" s="1"/>
      <c r="G15" s="1"/>
      <c r="H15" s="1"/>
      <c r="I15" s="1"/>
      <c r="J15" s="1"/>
      <c r="K15" s="1"/>
      <c r="L15" s="1"/>
      <c r="M15" s="1">
        <v>100</v>
      </c>
      <c r="N15" s="1">
        <v>105</v>
      </c>
      <c r="O15" s="1">
        <v>125</v>
      </c>
      <c r="P15" s="1">
        <v>125</v>
      </c>
      <c r="Q15" s="1">
        <v>145</v>
      </c>
      <c r="R15" s="1">
        <v>155</v>
      </c>
      <c r="S15" s="1">
        <v>165</v>
      </c>
      <c r="T15" s="1">
        <v>165</v>
      </c>
      <c r="U15" s="1"/>
      <c r="X15" s="1"/>
      <c r="Y15" s="1"/>
    </row>
    <row r="16" spans="1:25" ht="16" x14ac:dyDescent="0.2">
      <c r="A16" s="21"/>
      <c r="B16" s="21"/>
      <c r="C16" s="1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6" x14ac:dyDescent="0.2">
      <c r="A17" s="21"/>
      <c r="B17" s="21"/>
      <c r="C17" s="16"/>
      <c r="D17" s="1"/>
      <c r="E17" s="1"/>
      <c r="F17" s="1"/>
      <c r="G17" s="1"/>
      <c r="H17" s="1"/>
      <c r="I17" s="1"/>
      <c r="J17" s="1"/>
      <c r="K17" s="1"/>
      <c r="L17" s="1"/>
      <c r="M17" s="1">
        <f>M13</f>
        <v>98.499999999999986</v>
      </c>
      <c r="N17" s="1">
        <f>SUM(M17+N13)</f>
        <v>199.82499999999999</v>
      </c>
      <c r="O17" s="1">
        <f>SUM(N17+O13)</f>
        <v>312.45999999999998</v>
      </c>
      <c r="P17" s="1">
        <f>SUM(O17+P13)</f>
        <v>428.505</v>
      </c>
      <c r="Q17" s="1">
        <f t="shared" ref="Q17:T17" si="8">SUM(P17+Q13)</f>
        <v>559.17000000000007</v>
      </c>
      <c r="R17" s="1">
        <f t="shared" si="8"/>
        <v>695.68000000000006</v>
      </c>
      <c r="S17" s="1">
        <f t="shared" si="8"/>
        <v>846.28500000000008</v>
      </c>
      <c r="T17" s="1">
        <f t="shared" si="8"/>
        <v>996.94</v>
      </c>
      <c r="U17" s="1"/>
      <c r="V17" s="1"/>
      <c r="W17" s="1"/>
    </row>
    <row r="18" spans="1:23" ht="16" x14ac:dyDescent="0.2">
      <c r="A18" s="21"/>
      <c r="B18" s="21"/>
      <c r="C18" s="16"/>
      <c r="L18" s="1"/>
      <c r="M18" s="3"/>
      <c r="N18" s="3"/>
      <c r="O18" s="3"/>
      <c r="P18" s="3"/>
      <c r="Q18" s="1"/>
      <c r="R18" s="1"/>
      <c r="S18" s="1"/>
      <c r="T18" s="1"/>
      <c r="U18" s="1"/>
      <c r="V18" s="1"/>
      <c r="W18" s="1"/>
    </row>
    <row r="19" spans="1:23" ht="16" x14ac:dyDescent="0.2">
      <c r="A19" s="21"/>
      <c r="B19" s="21"/>
      <c r="C19" s="16"/>
      <c r="M19" s="1">
        <v>100</v>
      </c>
      <c r="N19" s="1">
        <f>SUM(M19+N15)</f>
        <v>205</v>
      </c>
      <c r="O19" s="1">
        <f>SUM(N19+O15)</f>
        <v>330</v>
      </c>
      <c r="P19" s="1">
        <f>SUM(O19+P15)</f>
        <v>455</v>
      </c>
      <c r="Q19" s="1">
        <f t="shared" ref="Q19:T19" si="9">SUM(P19+Q15)</f>
        <v>600</v>
      </c>
      <c r="R19" s="1">
        <f t="shared" si="9"/>
        <v>755</v>
      </c>
      <c r="S19" s="1">
        <f t="shared" si="9"/>
        <v>920</v>
      </c>
      <c r="T19" s="1">
        <f t="shared" si="9"/>
        <v>1085</v>
      </c>
    </row>
    <row r="20" spans="1:23" ht="16" x14ac:dyDescent="0.2">
      <c r="A20" s="21"/>
      <c r="B20" s="21"/>
      <c r="C20" s="16"/>
      <c r="V20" s="5"/>
    </row>
    <row r="21" spans="1:23" ht="16" x14ac:dyDescent="0.2">
      <c r="C21" s="22"/>
      <c r="E21" s="16"/>
      <c r="M21" s="4" t="s">
        <v>1563</v>
      </c>
      <c r="N21" s="4" t="s">
        <v>1563</v>
      </c>
      <c r="O21" s="4" t="s">
        <v>1563</v>
      </c>
      <c r="P21" s="4" t="s">
        <v>1563</v>
      </c>
      <c r="Q21" s="4" t="s">
        <v>1563</v>
      </c>
      <c r="R21" s="4" t="s">
        <v>1563</v>
      </c>
      <c r="S21" s="4" t="s">
        <v>1563</v>
      </c>
      <c r="T21" s="4" t="s">
        <v>1563</v>
      </c>
    </row>
    <row r="22" spans="1:23" ht="16" x14ac:dyDescent="0.2">
      <c r="A22" s="21"/>
      <c r="B22" s="21"/>
      <c r="C22" s="22"/>
      <c r="E22" s="16"/>
      <c r="M22" s="6">
        <f>(M17/M19)*100</f>
        <v>98.499999999999986</v>
      </c>
      <c r="N22" s="6">
        <f>(N17/N19)*100</f>
        <v>97.475609756097555</v>
      </c>
      <c r="O22" s="6">
        <f>(O17/O19)*100</f>
        <v>94.684848484848487</v>
      </c>
      <c r="P22" s="6">
        <f>(P17/P19)*100</f>
        <v>94.176923076923075</v>
      </c>
      <c r="Q22" s="6">
        <f t="shared" ref="Q22:T22" si="10">(Q17/Q19)*100</f>
        <v>93.195000000000022</v>
      </c>
      <c r="R22" s="6">
        <f t="shared" si="10"/>
        <v>92.143046357615901</v>
      </c>
      <c r="S22" s="6">
        <f t="shared" si="10"/>
        <v>91.987500000000011</v>
      </c>
      <c r="T22" s="6">
        <f t="shared" si="10"/>
        <v>91.883870967741942</v>
      </c>
    </row>
    <row r="23" spans="1:23" ht="16" x14ac:dyDescent="0.2">
      <c r="A23" s="21"/>
      <c r="B23" s="21"/>
      <c r="C23" s="22"/>
      <c r="E23" s="16"/>
    </row>
    <row r="24" spans="1:23" ht="16" x14ac:dyDescent="0.2">
      <c r="A24" s="21"/>
      <c r="B24" s="21"/>
      <c r="C24" s="16"/>
      <c r="E24" s="16"/>
    </row>
    <row r="25" spans="1:23" x14ac:dyDescent="0.2">
      <c r="A25" s="8"/>
      <c r="B25" s="8"/>
    </row>
    <row r="26" spans="1:23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3"/>
      <c r="R26" s="3"/>
      <c r="S26" s="3"/>
      <c r="T26" s="3"/>
    </row>
    <row r="27" spans="1:23" x14ac:dyDescent="0.2">
      <c r="A27" s="8"/>
      <c r="B27" s="8"/>
      <c r="C27" s="1"/>
      <c r="D27" s="1"/>
      <c r="E27" s="1"/>
      <c r="F27" s="1"/>
      <c r="G27" s="1"/>
      <c r="H27" s="1"/>
      <c r="I27" s="1"/>
      <c r="J27" s="1"/>
      <c r="L27" s="1"/>
      <c r="M27" s="1"/>
      <c r="N27" s="1"/>
      <c r="O27" s="1"/>
      <c r="P27" s="1"/>
      <c r="Q27" s="1"/>
      <c r="R27" s="1"/>
      <c r="S27" s="1"/>
      <c r="T27" s="1"/>
    </row>
    <row r="28" spans="1:23" x14ac:dyDescent="0.2">
      <c r="A28" s="8"/>
      <c r="B28" s="8"/>
      <c r="C28" s="1"/>
      <c r="D28" s="1"/>
      <c r="E28" s="1"/>
      <c r="F28" s="1"/>
      <c r="G28" s="1"/>
      <c r="H28" s="1"/>
      <c r="I28" s="1"/>
      <c r="J28" s="1"/>
      <c r="L28" s="1"/>
      <c r="M28" s="1"/>
      <c r="N28" s="1"/>
      <c r="O28" s="1"/>
      <c r="P28" s="1"/>
      <c r="Q28" s="1"/>
      <c r="R28" s="1"/>
      <c r="S28" s="1"/>
      <c r="T28" s="1"/>
    </row>
    <row r="29" spans="1:23" x14ac:dyDescent="0.2">
      <c r="A29" s="8"/>
      <c r="B29" s="8"/>
      <c r="C29" s="1"/>
      <c r="D29" s="1"/>
      <c r="E29" s="1"/>
      <c r="F29" s="1"/>
      <c r="G29" s="1"/>
      <c r="H29" s="1"/>
      <c r="I29" s="1"/>
      <c r="J29" s="1"/>
      <c r="L29" s="1"/>
      <c r="M29" s="1"/>
      <c r="N29" s="1"/>
      <c r="O29" s="1"/>
      <c r="P29" s="1"/>
      <c r="Q29" s="1"/>
      <c r="R29" s="1"/>
      <c r="S29" s="1"/>
      <c r="T29" s="1"/>
    </row>
    <row r="30" spans="1:23" x14ac:dyDescent="0.2">
      <c r="A30" s="8"/>
      <c r="B30" s="8"/>
      <c r="C30" s="1"/>
      <c r="D30" s="1"/>
      <c r="E30" s="1"/>
      <c r="F30" s="1"/>
      <c r="G30" s="1"/>
      <c r="H30" s="1"/>
      <c r="I30" s="1"/>
      <c r="J30" s="1"/>
      <c r="L30" s="1"/>
      <c r="M30" s="1"/>
      <c r="N30" s="1"/>
      <c r="O30" s="1"/>
      <c r="P30" s="1"/>
      <c r="Q30" s="1"/>
      <c r="R30" s="1"/>
      <c r="S30" s="1"/>
      <c r="T30" s="1"/>
    </row>
    <row r="31" spans="1:23" x14ac:dyDescent="0.2">
      <c r="A31" s="8"/>
      <c r="B31" s="8"/>
      <c r="C31" s="1"/>
      <c r="D31" s="1"/>
      <c r="E31" s="1"/>
      <c r="F31" s="1"/>
      <c r="G31" s="1"/>
      <c r="H31" s="1"/>
      <c r="I31" s="1"/>
      <c r="J31" s="1"/>
      <c r="L31" s="1"/>
      <c r="M31" s="1"/>
      <c r="N31" s="1"/>
      <c r="O31" s="1"/>
      <c r="P31" s="1"/>
      <c r="Q31" s="1"/>
      <c r="R31" s="1"/>
      <c r="S31" s="1"/>
      <c r="T31" s="1"/>
    </row>
    <row r="32" spans="1:23" x14ac:dyDescent="0.2">
      <c r="A32" s="8"/>
      <c r="B32" s="8"/>
      <c r="C32" s="1"/>
      <c r="D32" s="1"/>
      <c r="E32" s="1"/>
      <c r="F32" s="1"/>
      <c r="G32" s="1"/>
      <c r="H32" s="1"/>
      <c r="I32" s="1"/>
      <c r="J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">
      <c r="A33" s="8"/>
      <c r="B33" s="8"/>
      <c r="C33" s="1"/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">
      <c r="A34" s="8"/>
      <c r="B34" s="8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">
      <c r="A35" s="25"/>
      <c r="B35" s="25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">
      <c r="A36" s="8"/>
      <c r="B36" s="8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8"/>
      <c r="B37" s="8"/>
      <c r="C37" s="1"/>
      <c r="D37" s="1"/>
      <c r="E37" s="1"/>
      <c r="F37" s="1"/>
      <c r="G37" s="1"/>
      <c r="H37" s="1"/>
      <c r="I37" s="1"/>
      <c r="J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7"/>
      <c r="B39" s="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6" x14ac:dyDescent="0.2">
      <c r="A40" s="21"/>
      <c r="B40" s="21"/>
      <c r="C40" s="1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6" x14ac:dyDescent="0.2">
      <c r="A41" s="21"/>
      <c r="B41" s="21"/>
      <c r="C41" s="1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6" x14ac:dyDescent="0.2">
      <c r="A42" s="21"/>
      <c r="B42" s="21"/>
      <c r="C42" s="1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6" x14ac:dyDescent="0.2">
      <c r="A43" s="21"/>
      <c r="B43" s="21"/>
      <c r="C43" s="16"/>
      <c r="L43" s="1"/>
      <c r="M43" s="3"/>
      <c r="N43" s="3"/>
      <c r="O43" s="3"/>
      <c r="P43" s="3"/>
      <c r="Q43" s="1"/>
      <c r="R43" s="1"/>
      <c r="S43" s="1"/>
      <c r="T43" s="1"/>
    </row>
    <row r="44" spans="1:20" ht="16" x14ac:dyDescent="0.2">
      <c r="A44" s="21"/>
      <c r="B44" s="21"/>
      <c r="C44" s="16"/>
      <c r="M44" s="1"/>
      <c r="N44" s="1"/>
      <c r="O44" s="1"/>
      <c r="P44" s="1"/>
      <c r="Q44" s="1"/>
      <c r="R44" s="1"/>
      <c r="S44" s="1"/>
      <c r="T44" s="1"/>
    </row>
    <row r="45" spans="1:20" ht="16" x14ac:dyDescent="0.2">
      <c r="A45" s="21"/>
      <c r="B45" s="21"/>
      <c r="C45" s="16"/>
    </row>
    <row r="46" spans="1:20" ht="16" x14ac:dyDescent="0.2">
      <c r="C46" s="22"/>
      <c r="E46" s="16"/>
      <c r="M46" s="4"/>
      <c r="N46" s="4"/>
      <c r="O46" s="4"/>
      <c r="P46" s="4"/>
      <c r="Q46" s="4"/>
      <c r="R46" s="4"/>
      <c r="S46" s="4"/>
      <c r="T46" s="4"/>
    </row>
    <row r="47" spans="1:20" ht="16" x14ac:dyDescent="0.2">
      <c r="A47" s="21"/>
      <c r="B47" s="21"/>
      <c r="C47" s="22"/>
      <c r="E47" s="16"/>
      <c r="M47" s="6"/>
      <c r="N47" s="6"/>
      <c r="O47" s="6"/>
      <c r="P47" s="6"/>
      <c r="Q47" s="6"/>
      <c r="R47" s="6"/>
      <c r="S47" s="6"/>
      <c r="T47" s="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R31"/>
  <sheetViews>
    <sheetView topLeftCell="O2" workbookViewId="0">
      <selection activeCell="Y25" sqref="Y25:AR25"/>
    </sheetView>
  </sheetViews>
  <sheetFormatPr baseColWidth="10" defaultRowHeight="15" x14ac:dyDescent="0.2"/>
  <cols>
    <col min="2" max="2" width="47" customWidth="1"/>
  </cols>
  <sheetData>
    <row r="1" spans="1:44" ht="16" x14ac:dyDescent="0.2">
      <c r="A1" s="3" t="s">
        <v>15</v>
      </c>
      <c r="B1" s="24" t="s">
        <v>681</v>
      </c>
      <c r="C1" s="3">
        <v>1949</v>
      </c>
      <c r="D1" s="3">
        <v>1953</v>
      </c>
      <c r="E1" s="3">
        <v>1957</v>
      </c>
      <c r="F1" s="3">
        <v>1961</v>
      </c>
      <c r="G1" s="3">
        <v>1965</v>
      </c>
      <c r="H1" s="3">
        <v>1969</v>
      </c>
      <c r="I1" s="3">
        <v>1972</v>
      </c>
      <c r="J1" s="3">
        <v>1976</v>
      </c>
      <c r="K1" s="3">
        <v>1980</v>
      </c>
      <c r="L1" s="3">
        <v>1983</v>
      </c>
      <c r="M1" s="3">
        <v>1987</v>
      </c>
      <c r="N1" s="3">
        <v>1990</v>
      </c>
      <c r="O1" s="3">
        <v>1994</v>
      </c>
      <c r="P1" s="3">
        <v>1998</v>
      </c>
      <c r="Q1" s="3">
        <v>2002</v>
      </c>
      <c r="R1" s="3">
        <v>2005</v>
      </c>
      <c r="S1" s="3">
        <v>2009</v>
      </c>
      <c r="T1" s="3">
        <v>2013</v>
      </c>
      <c r="U1" s="3">
        <v>2017</v>
      </c>
      <c r="V1" s="3">
        <v>2021</v>
      </c>
      <c r="W1" s="3"/>
      <c r="X1" s="3"/>
      <c r="Y1" s="3">
        <v>1949</v>
      </c>
      <c r="Z1" s="3">
        <v>1953</v>
      </c>
      <c r="AA1" s="3">
        <v>1957</v>
      </c>
      <c r="AB1" s="3">
        <v>1961</v>
      </c>
      <c r="AC1" s="3">
        <v>1965</v>
      </c>
      <c r="AD1" s="3">
        <v>1969</v>
      </c>
      <c r="AE1" s="3">
        <v>1972</v>
      </c>
      <c r="AF1" s="3">
        <v>1976</v>
      </c>
      <c r="AG1" s="3">
        <v>1980</v>
      </c>
      <c r="AH1" s="3">
        <v>1983</v>
      </c>
      <c r="AI1" s="3">
        <v>1987</v>
      </c>
      <c r="AJ1" s="3">
        <v>1990</v>
      </c>
      <c r="AK1" s="3">
        <v>1994</v>
      </c>
      <c r="AL1" s="3">
        <v>1998</v>
      </c>
      <c r="AM1" s="3">
        <v>2002</v>
      </c>
      <c r="AN1" s="3">
        <v>2005</v>
      </c>
      <c r="AO1" s="3">
        <v>2009</v>
      </c>
      <c r="AP1" s="3">
        <v>2013</v>
      </c>
      <c r="AQ1" s="3">
        <v>2017</v>
      </c>
      <c r="AR1" s="3">
        <v>2021</v>
      </c>
    </row>
    <row r="2" spans="1:44" ht="16" x14ac:dyDescent="0.2">
      <c r="A2" s="8" t="s">
        <v>235</v>
      </c>
      <c r="B2" s="16" t="s">
        <v>437</v>
      </c>
      <c r="C2" s="1">
        <v>29.2</v>
      </c>
      <c r="D2" s="1">
        <v>28.8</v>
      </c>
      <c r="E2" s="1">
        <v>31.8</v>
      </c>
      <c r="F2" s="1">
        <v>36.200000000000003</v>
      </c>
      <c r="G2" s="1">
        <v>39.299999999999997</v>
      </c>
      <c r="H2" s="1">
        <v>42.7</v>
      </c>
      <c r="I2" s="1">
        <v>45.8</v>
      </c>
      <c r="J2" s="1">
        <v>42.6</v>
      </c>
      <c r="K2" s="1">
        <v>42.9</v>
      </c>
      <c r="L2" s="1">
        <v>38.200000000000003</v>
      </c>
      <c r="M2" s="1">
        <v>37</v>
      </c>
      <c r="N2" s="1">
        <v>33.5</v>
      </c>
      <c r="O2" s="1">
        <v>36.4</v>
      </c>
      <c r="P2" s="1">
        <v>40.9</v>
      </c>
      <c r="Q2" s="1">
        <v>38.5</v>
      </c>
      <c r="R2" s="1">
        <v>34.200000000000003</v>
      </c>
      <c r="S2" s="1">
        <v>23</v>
      </c>
      <c r="T2" s="1">
        <v>25.7</v>
      </c>
      <c r="U2" s="1">
        <v>20.5</v>
      </c>
      <c r="V2" s="1">
        <v>25.7</v>
      </c>
      <c r="W2" s="8"/>
      <c r="Y2" s="1">
        <v>29.2</v>
      </c>
      <c r="Z2" s="1">
        <f>(D2*0.2)+D2</f>
        <v>34.56</v>
      </c>
      <c r="AA2" s="1">
        <f>(E2*0.4)+E2</f>
        <v>44.52</v>
      </c>
      <c r="AB2" s="1">
        <f>(F2*0.6)+F2</f>
        <v>57.92</v>
      </c>
      <c r="AC2" s="1">
        <f>(G2*0.8)+G2</f>
        <v>70.739999999999995</v>
      </c>
      <c r="AD2" s="1">
        <f>(H2*1)+H2</f>
        <v>85.4</v>
      </c>
      <c r="AE2" s="1">
        <f>(I2*1.15)+I2</f>
        <v>98.47</v>
      </c>
      <c r="AF2" s="1">
        <f>(J2*1.35)+J2</f>
        <v>100.11000000000001</v>
      </c>
      <c r="AG2" s="1">
        <f>(K2*1.55)+K2</f>
        <v>109.39500000000001</v>
      </c>
      <c r="AH2" s="1">
        <f>(L2*1.7)+L2</f>
        <v>103.14</v>
      </c>
      <c r="AI2" s="1">
        <f>(M2*1.9)+M2</f>
        <v>107.3</v>
      </c>
      <c r="AJ2" s="1">
        <f>(N2*2.05)+N2</f>
        <v>102.175</v>
      </c>
      <c r="AK2" s="1">
        <f>(O2*2.25)+O2</f>
        <v>118.29999999999998</v>
      </c>
      <c r="AL2" s="1">
        <f>(P2*2.45)+P2</f>
        <v>141.10499999999999</v>
      </c>
      <c r="AM2" s="1">
        <f>(Q2*2.65)+Q2</f>
        <v>140.52499999999998</v>
      </c>
      <c r="AN2" s="1">
        <f>(R2*2.85)+R2</f>
        <v>131.67000000000002</v>
      </c>
      <c r="AO2" s="1">
        <f>(S2*3.05)+S2</f>
        <v>93.149999999999991</v>
      </c>
      <c r="AP2" s="1">
        <f>(T2*3.25)+T2</f>
        <v>109.22499999999999</v>
      </c>
      <c r="AQ2" s="1">
        <f>(U2*3.45)+U2</f>
        <v>91.225000000000009</v>
      </c>
      <c r="AR2" s="1">
        <f>(V2*3.65)+V2</f>
        <v>119.505</v>
      </c>
    </row>
    <row r="3" spans="1:44" ht="16" x14ac:dyDescent="0.2">
      <c r="A3" s="8" t="s">
        <v>274</v>
      </c>
      <c r="B3" s="16" t="s">
        <v>989</v>
      </c>
      <c r="C3" s="1">
        <v>25.2</v>
      </c>
      <c r="D3" s="1">
        <v>36.4</v>
      </c>
      <c r="E3" s="1">
        <v>39.700000000000003</v>
      </c>
      <c r="F3" s="1">
        <v>35.799999999999997</v>
      </c>
      <c r="G3" s="1">
        <v>38</v>
      </c>
      <c r="H3" s="1">
        <v>36.6</v>
      </c>
      <c r="I3" s="1">
        <v>35.200000000000003</v>
      </c>
      <c r="J3" s="1">
        <v>38</v>
      </c>
      <c r="K3" s="1">
        <v>34.200000000000003</v>
      </c>
      <c r="L3" s="1">
        <v>38.1</v>
      </c>
      <c r="M3" s="1">
        <v>34.4</v>
      </c>
      <c r="N3" s="1">
        <v>36.700000000000003</v>
      </c>
      <c r="O3" s="1">
        <v>34.200000000000003</v>
      </c>
      <c r="P3" s="1">
        <v>28.4</v>
      </c>
      <c r="Q3" s="1">
        <v>29.5</v>
      </c>
      <c r="R3" s="1">
        <v>27.8</v>
      </c>
      <c r="S3" s="1">
        <v>27.3</v>
      </c>
      <c r="T3" s="1">
        <v>34.1</v>
      </c>
      <c r="U3" s="1">
        <v>26.8</v>
      </c>
      <c r="V3" s="1">
        <v>18.899999999999999</v>
      </c>
      <c r="W3" s="8"/>
      <c r="Y3" s="1">
        <v>25.2</v>
      </c>
      <c r="Z3" s="1">
        <f t="shared" ref="Z3:Z7" si="0">(D3*0.2)+D3</f>
        <v>43.68</v>
      </c>
      <c r="AA3" s="1">
        <f t="shared" ref="AA3:AA7" si="1">(E3*0.4)+E3</f>
        <v>55.580000000000005</v>
      </c>
      <c r="AB3" s="1">
        <f t="shared" ref="AB3:AB5" si="2">(F3*0.6)+F3</f>
        <v>57.279999999999994</v>
      </c>
      <c r="AC3" s="1">
        <f t="shared" ref="AC3:AC5" si="3">(G3*0.8)+G3</f>
        <v>68.400000000000006</v>
      </c>
      <c r="AD3" s="1">
        <f t="shared" ref="AD3:AD10" si="4">(H3*1)+H3</f>
        <v>73.2</v>
      </c>
      <c r="AE3" s="1">
        <f t="shared" ref="AE3:AE5" si="5">(I3*1.15)+I3</f>
        <v>75.680000000000007</v>
      </c>
      <c r="AF3" s="1">
        <f t="shared" ref="AF3:AF5" si="6">(J3*1.35)+J3</f>
        <v>89.300000000000011</v>
      </c>
      <c r="AG3" s="1">
        <f t="shared" ref="AG3:AG5" si="7">(K3*1.55)+K3</f>
        <v>87.210000000000008</v>
      </c>
      <c r="AH3" s="1">
        <f t="shared" ref="AH3:AH5" si="8">(L3*1.7)+L3</f>
        <v>102.87</v>
      </c>
      <c r="AI3" s="1">
        <f t="shared" ref="AI3:AI7" si="9">(M3*1.9)+M3</f>
        <v>99.759999999999991</v>
      </c>
      <c r="AJ3" s="1">
        <f t="shared" ref="AJ3:AJ5" si="10">(N3*2.05)+N3</f>
        <v>111.935</v>
      </c>
      <c r="AK3" s="1">
        <f t="shared" ref="AK3:AK5" si="11">(O3*2.25)+O3</f>
        <v>111.15</v>
      </c>
      <c r="AL3" s="1">
        <f t="shared" ref="AL3:AL5" si="12">(P3*2.45)+P3</f>
        <v>97.97999999999999</v>
      </c>
      <c r="AM3" s="1">
        <f t="shared" ref="AM3:AM5" si="13">(Q3*2.65)+Q3</f>
        <v>107.675</v>
      </c>
      <c r="AN3" s="1">
        <f t="shared" ref="AN3:AN5" si="14">(R3*2.85)+R3</f>
        <v>107.03</v>
      </c>
      <c r="AO3" s="1">
        <f t="shared" ref="AO3:AO5" si="15">(S3*3.05)+S3</f>
        <v>110.565</v>
      </c>
      <c r="AP3" s="1">
        <f t="shared" ref="AP3:AP5" si="16">(T3*3.25)+T3</f>
        <v>144.92500000000001</v>
      </c>
      <c r="AQ3" s="1">
        <f t="shared" ref="AQ3:AQ10" si="17">(U3*3.45)+U3</f>
        <v>119.26</v>
      </c>
      <c r="AR3" s="1">
        <f t="shared" ref="AR3:AR10" si="18">(V3*3.65)+V3</f>
        <v>87.884999999999991</v>
      </c>
    </row>
    <row r="4" spans="1:44" x14ac:dyDescent="0.2">
      <c r="A4" s="8" t="s">
        <v>275</v>
      </c>
      <c r="B4" s="1" t="s">
        <v>745</v>
      </c>
      <c r="C4" s="1">
        <v>11.9</v>
      </c>
      <c r="D4" s="1">
        <v>9.5</v>
      </c>
      <c r="E4" s="1">
        <v>7.7</v>
      </c>
      <c r="F4" s="1">
        <v>12.8</v>
      </c>
      <c r="G4" s="1">
        <v>9.5</v>
      </c>
      <c r="H4" s="1">
        <v>5.8</v>
      </c>
      <c r="I4" s="1">
        <v>8.4</v>
      </c>
      <c r="J4" s="1">
        <v>7.9</v>
      </c>
      <c r="K4" s="1">
        <v>10.6</v>
      </c>
      <c r="L4" s="1">
        <v>6.9</v>
      </c>
      <c r="M4" s="1">
        <v>9.1</v>
      </c>
      <c r="N4" s="1">
        <v>11</v>
      </c>
      <c r="O4" s="1">
        <v>7.3</v>
      </c>
      <c r="P4" s="1">
        <v>6.2</v>
      </c>
      <c r="Q4" s="1">
        <v>7.4</v>
      </c>
      <c r="R4" s="1">
        <v>9.8000000000000007</v>
      </c>
      <c r="S4" s="1">
        <v>14.6</v>
      </c>
      <c r="T4" s="1">
        <v>4.8</v>
      </c>
      <c r="U4" s="1">
        <v>10.7</v>
      </c>
      <c r="V4" s="1">
        <v>11.5</v>
      </c>
      <c r="W4" s="8"/>
      <c r="Y4" s="1">
        <v>11.9</v>
      </c>
      <c r="Z4" s="1">
        <f t="shared" si="0"/>
        <v>11.4</v>
      </c>
      <c r="AA4" s="1">
        <f t="shared" si="1"/>
        <v>10.780000000000001</v>
      </c>
      <c r="AB4" s="1">
        <f t="shared" si="2"/>
        <v>20.48</v>
      </c>
      <c r="AC4" s="1">
        <f t="shared" si="3"/>
        <v>17.100000000000001</v>
      </c>
      <c r="AD4" s="1">
        <f t="shared" si="4"/>
        <v>11.6</v>
      </c>
      <c r="AE4" s="1">
        <f t="shared" si="5"/>
        <v>18.060000000000002</v>
      </c>
      <c r="AF4" s="1">
        <f t="shared" si="6"/>
        <v>18.565000000000001</v>
      </c>
      <c r="AG4" s="1">
        <f t="shared" si="7"/>
        <v>27.03</v>
      </c>
      <c r="AH4" s="1">
        <f t="shared" si="8"/>
        <v>18.630000000000003</v>
      </c>
      <c r="AI4" s="1">
        <f t="shared" si="9"/>
        <v>26.39</v>
      </c>
      <c r="AJ4" s="1">
        <f t="shared" si="10"/>
        <v>33.549999999999997</v>
      </c>
      <c r="AK4" s="1">
        <f t="shared" si="11"/>
        <v>23.725000000000001</v>
      </c>
      <c r="AL4" s="1">
        <f t="shared" si="12"/>
        <v>21.39</v>
      </c>
      <c r="AM4" s="1">
        <f t="shared" si="13"/>
        <v>27.009999999999998</v>
      </c>
      <c r="AN4" s="1">
        <f t="shared" si="14"/>
        <v>37.730000000000004</v>
      </c>
      <c r="AO4" s="1">
        <f t="shared" si="15"/>
        <v>59.129999999999995</v>
      </c>
      <c r="AP4" s="1">
        <f t="shared" si="16"/>
        <v>20.399999999999999</v>
      </c>
      <c r="AQ4" s="1">
        <f t="shared" si="17"/>
        <v>47.614999999999995</v>
      </c>
      <c r="AR4" s="1">
        <f t="shared" si="18"/>
        <v>53.475000000000001</v>
      </c>
    </row>
    <row r="5" spans="1:44" x14ac:dyDescent="0.2">
      <c r="A5" s="8" t="s">
        <v>276</v>
      </c>
      <c r="B5" s="1" t="s">
        <v>1106</v>
      </c>
      <c r="C5" s="1">
        <v>5.8</v>
      </c>
      <c r="D5" s="1">
        <v>8.8000000000000007</v>
      </c>
      <c r="E5" s="1">
        <v>10.5</v>
      </c>
      <c r="F5" s="1">
        <v>9.6</v>
      </c>
      <c r="G5" s="1">
        <v>9.6</v>
      </c>
      <c r="H5" s="1">
        <v>9.5</v>
      </c>
      <c r="I5" s="1">
        <v>9.6999999999999993</v>
      </c>
      <c r="J5" s="1">
        <v>10.6</v>
      </c>
      <c r="K5" s="1">
        <v>10.3</v>
      </c>
      <c r="L5" s="1">
        <v>10.6</v>
      </c>
      <c r="M5" s="1">
        <v>9.8000000000000007</v>
      </c>
      <c r="N5" s="1">
        <v>7.1</v>
      </c>
      <c r="O5" s="1">
        <v>7.3</v>
      </c>
      <c r="P5" s="1">
        <v>6.8</v>
      </c>
      <c r="Q5" s="1">
        <v>9</v>
      </c>
      <c r="R5" s="1">
        <v>7.4</v>
      </c>
      <c r="S5" s="1">
        <v>6.5</v>
      </c>
      <c r="T5" s="1">
        <v>7.4</v>
      </c>
      <c r="U5" s="1">
        <v>6.2</v>
      </c>
      <c r="V5" s="1">
        <v>5.2</v>
      </c>
      <c r="W5" s="8"/>
      <c r="Y5" s="1">
        <v>5.8</v>
      </c>
      <c r="Z5" s="1">
        <f t="shared" si="0"/>
        <v>10.56</v>
      </c>
      <c r="AA5" s="1">
        <f t="shared" si="1"/>
        <v>14.7</v>
      </c>
      <c r="AB5" s="1">
        <f t="shared" si="2"/>
        <v>15.36</v>
      </c>
      <c r="AC5" s="1">
        <f t="shared" si="3"/>
        <v>17.28</v>
      </c>
      <c r="AD5" s="1">
        <f t="shared" si="4"/>
        <v>19</v>
      </c>
      <c r="AE5" s="1">
        <f t="shared" si="5"/>
        <v>20.854999999999997</v>
      </c>
      <c r="AF5" s="1">
        <f t="shared" si="6"/>
        <v>24.91</v>
      </c>
      <c r="AG5" s="1">
        <f t="shared" si="7"/>
        <v>26.265000000000001</v>
      </c>
      <c r="AH5" s="1">
        <f t="shared" si="8"/>
        <v>28.619999999999997</v>
      </c>
      <c r="AI5" s="1">
        <f t="shared" si="9"/>
        <v>28.42</v>
      </c>
      <c r="AJ5" s="1">
        <f t="shared" si="10"/>
        <v>21.654999999999998</v>
      </c>
      <c r="AK5" s="1">
        <f t="shared" si="11"/>
        <v>23.725000000000001</v>
      </c>
      <c r="AL5" s="1">
        <f t="shared" si="12"/>
        <v>23.46</v>
      </c>
      <c r="AM5" s="1">
        <f t="shared" si="13"/>
        <v>32.849999999999994</v>
      </c>
      <c r="AN5" s="1">
        <f t="shared" si="14"/>
        <v>28.490000000000002</v>
      </c>
      <c r="AO5" s="1">
        <f t="shared" si="15"/>
        <v>26.324999999999999</v>
      </c>
      <c r="AP5" s="1">
        <f t="shared" si="16"/>
        <v>31.450000000000003</v>
      </c>
      <c r="AQ5" s="1">
        <f t="shared" si="17"/>
        <v>27.59</v>
      </c>
      <c r="AR5" s="1">
        <f t="shared" si="18"/>
        <v>24.18</v>
      </c>
    </row>
    <row r="6" spans="1:44" x14ac:dyDescent="0.2">
      <c r="A6" s="8" t="s">
        <v>104</v>
      </c>
      <c r="B6" s="1" t="s">
        <v>1107</v>
      </c>
      <c r="C6" s="1">
        <v>4</v>
      </c>
      <c r="D6" s="1">
        <v>3.3</v>
      </c>
      <c r="E6" s="1">
        <v>3.4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8"/>
      <c r="Y6" s="1">
        <v>4</v>
      </c>
      <c r="Z6" s="1">
        <f t="shared" si="0"/>
        <v>3.96</v>
      </c>
      <c r="AA6" s="1">
        <f t="shared" si="1"/>
        <v>4.76</v>
      </c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x14ac:dyDescent="0.2">
      <c r="A7" s="8" t="s">
        <v>277</v>
      </c>
      <c r="B7" s="1" t="s">
        <v>765</v>
      </c>
      <c r="C7" s="1">
        <v>3.1</v>
      </c>
      <c r="D7" s="1">
        <v>0.8</v>
      </c>
      <c r="E7" s="1">
        <v>0.9</v>
      </c>
      <c r="F7" s="1"/>
      <c r="G7" s="1"/>
      <c r="H7" s="1"/>
      <c r="I7" s="1"/>
      <c r="J7" s="1"/>
      <c r="K7" s="1"/>
      <c r="L7" s="1"/>
      <c r="M7" s="1">
        <v>0.1</v>
      </c>
      <c r="N7" s="1"/>
      <c r="O7" s="1"/>
      <c r="P7" s="1"/>
      <c r="Q7" s="1"/>
      <c r="R7" s="1"/>
      <c r="S7" s="1"/>
      <c r="T7" s="1"/>
      <c r="U7" s="1"/>
      <c r="V7" s="1"/>
      <c r="W7" s="8"/>
      <c r="Y7" s="1">
        <v>3.1</v>
      </c>
      <c r="Z7" s="1">
        <f t="shared" si="0"/>
        <v>0.96000000000000008</v>
      </c>
      <c r="AA7" s="1">
        <f t="shared" si="1"/>
        <v>1.26</v>
      </c>
      <c r="AB7" s="1"/>
      <c r="AC7" s="1"/>
      <c r="AD7" s="1"/>
      <c r="AE7" s="1"/>
      <c r="AF7" s="1"/>
      <c r="AG7" s="1"/>
      <c r="AH7" s="1"/>
      <c r="AI7" s="1">
        <f t="shared" si="9"/>
        <v>0.29000000000000004</v>
      </c>
      <c r="AJ7" s="1"/>
      <c r="AK7" s="1"/>
      <c r="AL7" s="1"/>
      <c r="AM7" s="1"/>
      <c r="AN7" s="1"/>
      <c r="AO7" s="1"/>
      <c r="AP7" s="1"/>
      <c r="AQ7" s="1"/>
      <c r="AR7" s="1"/>
    </row>
    <row r="8" spans="1:44" ht="16" x14ac:dyDescent="0.2">
      <c r="A8" s="15" t="s">
        <v>519</v>
      </c>
      <c r="B8" s="1" t="s">
        <v>1108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>
        <v>4.7</v>
      </c>
      <c r="U8" s="1">
        <v>12.6</v>
      </c>
      <c r="V8" s="1">
        <v>10.3</v>
      </c>
      <c r="W8" s="15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>
        <v>4.7</v>
      </c>
      <c r="AQ8" s="1">
        <f>(U8*0.2)+U8</f>
        <v>15.12</v>
      </c>
      <c r="AR8" s="1">
        <f>(V8*0.4)+V8</f>
        <v>14.420000000000002</v>
      </c>
    </row>
    <row r="9" spans="1:44" ht="16" x14ac:dyDescent="0.2">
      <c r="A9" s="15" t="s">
        <v>520</v>
      </c>
      <c r="B9" s="1" t="s">
        <v>1109</v>
      </c>
      <c r="C9" s="1"/>
      <c r="D9" s="1"/>
      <c r="E9" s="1"/>
      <c r="F9" s="1"/>
      <c r="G9" s="1">
        <v>2</v>
      </c>
      <c r="H9" s="1">
        <v>4.3</v>
      </c>
      <c r="I9" s="1">
        <v>0.6</v>
      </c>
      <c r="J9" s="1">
        <v>0.3</v>
      </c>
      <c r="K9" s="1">
        <v>0.2</v>
      </c>
      <c r="L9" s="1">
        <v>0.2</v>
      </c>
      <c r="M9" s="1">
        <v>0.6</v>
      </c>
      <c r="N9" s="1">
        <v>0.3</v>
      </c>
      <c r="O9" s="1"/>
      <c r="P9" s="1">
        <v>0.3</v>
      </c>
      <c r="Q9" s="1">
        <v>0.4</v>
      </c>
      <c r="R9" s="1">
        <v>1.6</v>
      </c>
      <c r="S9" s="1">
        <v>1.5</v>
      </c>
      <c r="T9" s="1">
        <v>1.3</v>
      </c>
      <c r="U9" s="1">
        <v>0.4</v>
      </c>
      <c r="V9" s="1">
        <v>0.1</v>
      </c>
      <c r="W9" s="15"/>
      <c r="Y9" s="1"/>
      <c r="Z9" s="1"/>
      <c r="AA9" s="1"/>
      <c r="AB9" s="1"/>
      <c r="AC9" s="1">
        <v>2</v>
      </c>
      <c r="AD9" s="1">
        <f>(H9*0.2)+H9</f>
        <v>5.16</v>
      </c>
      <c r="AE9" s="1">
        <f>(I9*0.35)+I9</f>
        <v>0.80999999999999994</v>
      </c>
      <c r="AF9" s="1">
        <f>(J9*0.55)+J9</f>
        <v>0.46499999999999997</v>
      </c>
      <c r="AG9" s="1">
        <f>(K9*0.75)+K9</f>
        <v>0.35000000000000003</v>
      </c>
      <c r="AH9" s="1">
        <f>(L9*0.9)+L9</f>
        <v>0.38</v>
      </c>
      <c r="AI9" s="1">
        <f>(M9*1.1)+M9</f>
        <v>1.26</v>
      </c>
      <c r="AJ9" s="1">
        <f>(N9*1.25)+N9</f>
        <v>0.67500000000000004</v>
      </c>
      <c r="AK9" s="1"/>
      <c r="AL9" s="1">
        <f>(P9*1.65)+P9</f>
        <v>0.79499999999999993</v>
      </c>
      <c r="AM9" s="1">
        <f>(Q9*1.85)+Q9</f>
        <v>1.1400000000000001</v>
      </c>
      <c r="AN9" s="1">
        <f>(R9*2.05)+R9</f>
        <v>4.88</v>
      </c>
      <c r="AO9" s="1">
        <f>(S9*2.25)+S9</f>
        <v>4.875</v>
      </c>
      <c r="AP9" s="1">
        <f>(T9*2.45)+T9</f>
        <v>4.4850000000000003</v>
      </c>
      <c r="AQ9" s="1">
        <f>(U9*2.65)+U9</f>
        <v>1.46</v>
      </c>
      <c r="AR9" s="1">
        <f>(V9*2.85)+V9</f>
        <v>0.38500000000000001</v>
      </c>
    </row>
    <row r="10" spans="1:44" ht="16" x14ac:dyDescent="0.2">
      <c r="A10" s="15" t="s">
        <v>382</v>
      </c>
      <c r="B10" s="1" t="s">
        <v>1110</v>
      </c>
      <c r="C10" s="1">
        <v>4.2</v>
      </c>
      <c r="D10" s="1">
        <v>1.7</v>
      </c>
      <c r="E10" s="1"/>
      <c r="F10" s="1"/>
      <c r="G10" s="1"/>
      <c r="H10" s="1">
        <v>0.2</v>
      </c>
      <c r="I10" s="1"/>
      <c r="J10" s="1"/>
      <c r="K10" s="1"/>
      <c r="L10" s="1"/>
      <c r="M10" s="1">
        <v>0.1</v>
      </c>
      <c r="N10" s="1">
        <v>0.1</v>
      </c>
      <c r="O10" s="1">
        <v>0.1</v>
      </c>
      <c r="P10" s="1">
        <v>0.1</v>
      </c>
      <c r="Q10" s="1"/>
      <c r="R10" s="1">
        <v>0.1</v>
      </c>
      <c r="S10" s="1">
        <v>0.1</v>
      </c>
      <c r="T10" s="1">
        <v>0.1</v>
      </c>
      <c r="U10" s="1">
        <v>0.1</v>
      </c>
      <c r="V10" s="1">
        <v>0.1</v>
      </c>
      <c r="W10" s="15"/>
      <c r="Y10" s="1">
        <v>4.2</v>
      </c>
      <c r="Z10" s="1">
        <f>(D10*0.2)+D10</f>
        <v>2.04</v>
      </c>
      <c r="AA10" s="1"/>
      <c r="AB10" s="1"/>
      <c r="AC10" s="1"/>
      <c r="AD10" s="1">
        <f t="shared" si="4"/>
        <v>0.4</v>
      </c>
      <c r="AE10" s="1"/>
      <c r="AF10" s="1"/>
      <c r="AG10" s="1"/>
      <c r="AH10" s="1"/>
      <c r="AI10" s="1">
        <f>(M10*1.9)+M10</f>
        <v>0.29000000000000004</v>
      </c>
      <c r="AJ10" s="1">
        <f t="shared" ref="AJ10" si="19">(N10*2.05)+N10</f>
        <v>0.30499999999999999</v>
      </c>
      <c r="AK10" s="1">
        <f t="shared" ref="AK10" si="20">(O10*2.25)+O10</f>
        <v>0.32500000000000001</v>
      </c>
      <c r="AL10" s="1">
        <f t="shared" ref="AL10" si="21">(P10*2.45)+P10</f>
        <v>0.34500000000000003</v>
      </c>
      <c r="AM10" s="1"/>
      <c r="AN10" s="1">
        <f t="shared" ref="AN10" si="22">(R10*2.85)+R10</f>
        <v>0.38500000000000001</v>
      </c>
      <c r="AO10" s="1">
        <f t="shared" ref="AO10" si="23">(S10*3.05)+S10</f>
        <v>0.40500000000000003</v>
      </c>
      <c r="AP10" s="1">
        <f t="shared" ref="AP10" si="24">(T10*3.25)+T10</f>
        <v>0.42500000000000004</v>
      </c>
      <c r="AQ10" s="1">
        <f t="shared" si="17"/>
        <v>0.44500000000000006</v>
      </c>
      <c r="AR10" s="1">
        <f t="shared" si="18"/>
        <v>0.46499999999999997</v>
      </c>
    </row>
    <row r="11" spans="1:44" ht="16" x14ac:dyDescent="0.2">
      <c r="A11" s="15" t="s">
        <v>521</v>
      </c>
      <c r="B11" s="1" t="s">
        <v>1111</v>
      </c>
      <c r="C11" s="1"/>
      <c r="D11" s="1">
        <v>5.9</v>
      </c>
      <c r="E11" s="1">
        <v>4.5999999999999996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5"/>
      <c r="Y11" s="1"/>
      <c r="Z11" s="1">
        <v>5.9</v>
      </c>
      <c r="AA11" s="1">
        <f>(E11*0.2)+E11</f>
        <v>5.52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6" x14ac:dyDescent="0.2">
      <c r="A12" s="15" t="s">
        <v>242</v>
      </c>
      <c r="B12" s="1" t="s">
        <v>1112</v>
      </c>
      <c r="C12" s="1">
        <v>5.7</v>
      </c>
      <c r="D12" s="1">
        <v>2.2000000000000002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5"/>
      <c r="Y12" s="1">
        <v>5.7</v>
      </c>
      <c r="Z12" s="1">
        <f>(D12*0.2)+D12</f>
        <v>2.64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2">
      <c r="A13" s="8" t="s">
        <v>361</v>
      </c>
      <c r="B13" s="1" t="s">
        <v>1113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2.4</v>
      </c>
      <c r="O13" s="1">
        <v>4.4000000000000004</v>
      </c>
      <c r="P13" s="1">
        <v>5.0999999999999996</v>
      </c>
      <c r="Q13" s="1">
        <v>4</v>
      </c>
      <c r="R13" s="1"/>
      <c r="S13" s="1"/>
      <c r="T13" s="1"/>
      <c r="U13" s="1"/>
      <c r="V13" s="1"/>
      <c r="W13" s="8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>
        <v>2.4</v>
      </c>
      <c r="AK13" s="1">
        <f t="shared" ref="AK13" si="25">(O13*0.2)+O13</f>
        <v>5.28</v>
      </c>
      <c r="AL13" s="1">
        <f>(P13*0.4)+P13</f>
        <v>7.14</v>
      </c>
      <c r="AM13" s="1">
        <f>(Q13*0.6)+Q13</f>
        <v>6.4</v>
      </c>
      <c r="AN13" s="1"/>
      <c r="AO13" s="1"/>
      <c r="AP13" s="1"/>
      <c r="AQ13" s="1"/>
      <c r="AR13" s="1"/>
    </row>
    <row r="14" spans="1:44" x14ac:dyDescent="0.2">
      <c r="A14" s="8" t="s">
        <v>107</v>
      </c>
      <c r="B14" s="1" t="s">
        <v>966</v>
      </c>
      <c r="C14" s="1"/>
      <c r="D14" s="1"/>
      <c r="E14" s="1"/>
      <c r="F14" s="1"/>
      <c r="G14" s="1"/>
      <c r="H14" s="1"/>
      <c r="I14" s="1"/>
      <c r="J14" s="1"/>
      <c r="K14" s="1">
        <v>1.5</v>
      </c>
      <c r="L14" s="1">
        <v>5.6</v>
      </c>
      <c r="M14" s="1">
        <v>8.3000000000000007</v>
      </c>
      <c r="N14" s="1">
        <v>3.8</v>
      </c>
      <c r="W14" s="8"/>
      <c r="Y14" s="1"/>
      <c r="Z14" s="1"/>
      <c r="AA14" s="1"/>
      <c r="AB14" s="1"/>
      <c r="AC14" s="1"/>
      <c r="AD14" s="1"/>
      <c r="AE14" s="1"/>
      <c r="AF14" s="1"/>
      <c r="AG14" s="1">
        <v>1.5</v>
      </c>
      <c r="AH14" s="1">
        <f>(L14*0.15)+L14</f>
        <v>6.4399999999999995</v>
      </c>
      <c r="AI14" s="1">
        <f>(M14*0.35)+M14</f>
        <v>11.205000000000002</v>
      </c>
      <c r="AJ14" s="1">
        <f>(N14*0.5)+N14</f>
        <v>5.6999999999999993</v>
      </c>
      <c r="AQ14" s="1"/>
      <c r="AR14" s="1"/>
    </row>
    <row r="15" spans="1:44" ht="16" x14ac:dyDescent="0.2">
      <c r="A15" s="15" t="s">
        <v>1105</v>
      </c>
      <c r="B15" s="1" t="s">
        <v>966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1.2</v>
      </c>
      <c r="O15" s="1">
        <v>7.3</v>
      </c>
      <c r="P15" s="1">
        <v>6.7</v>
      </c>
      <c r="Q15" s="1">
        <v>8.6</v>
      </c>
      <c r="R15" s="1">
        <v>8.1</v>
      </c>
      <c r="S15" s="1">
        <v>10.7</v>
      </c>
      <c r="T15" s="1">
        <v>8.4</v>
      </c>
      <c r="U15" s="1">
        <v>8.9</v>
      </c>
      <c r="V15" s="1">
        <v>14.8</v>
      </c>
      <c r="W15" s="15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>
        <v>1.2</v>
      </c>
      <c r="AK15" s="1">
        <f>(O15*0.2)+O15</f>
        <v>8.76</v>
      </c>
      <c r="AL15" s="1">
        <f>(P15*0.4)+P15</f>
        <v>9.3800000000000008</v>
      </c>
      <c r="AM15" s="1">
        <f>(Q15*0.6)+Q15</f>
        <v>13.759999999999998</v>
      </c>
      <c r="AN15" s="1">
        <f>(R15*0.75)+R15</f>
        <v>14.174999999999999</v>
      </c>
      <c r="AO15" s="1">
        <f>(S15*0.95)+S15</f>
        <v>20.864999999999998</v>
      </c>
      <c r="AP15" s="1">
        <f>(T15*1.15)+T15</f>
        <v>18.060000000000002</v>
      </c>
      <c r="AQ15" s="1">
        <f>(U15*1.35)+U15</f>
        <v>20.914999999999999</v>
      </c>
      <c r="AR15" s="1">
        <f>(V15*1.55)+V15</f>
        <v>37.74</v>
      </c>
    </row>
    <row r="16" spans="1:44" x14ac:dyDescent="0.2">
      <c r="A16" s="8" t="s">
        <v>109</v>
      </c>
      <c r="B16" s="1" t="s">
        <v>971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8.6999999999999993</v>
      </c>
      <c r="S16" s="1">
        <v>11.9</v>
      </c>
      <c r="T16" s="1">
        <v>8.6</v>
      </c>
      <c r="U16" s="1">
        <v>9.1999999999999993</v>
      </c>
      <c r="V16" s="1">
        <v>4.9000000000000004</v>
      </c>
      <c r="W16" s="8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>
        <v>8.6999999999999993</v>
      </c>
      <c r="AO16" s="1">
        <f>(S16*0.2)+S16</f>
        <v>14.280000000000001</v>
      </c>
      <c r="AP16" s="1">
        <f>(T16*0.4)+T16</f>
        <v>12.04</v>
      </c>
      <c r="AQ16" s="1">
        <f>(U16*0.6)+U16</f>
        <v>14.719999999999999</v>
      </c>
      <c r="AR16" s="1">
        <f>(V16*0.8)+V16</f>
        <v>8.82</v>
      </c>
    </row>
    <row r="17" spans="1:44" x14ac:dyDescent="0.2">
      <c r="O17" s="1"/>
      <c r="P17" s="1"/>
      <c r="Q17" s="1"/>
      <c r="R17" s="1"/>
      <c r="S17" s="1"/>
      <c r="T17" s="1"/>
      <c r="U17" s="1"/>
      <c r="V17" s="1"/>
      <c r="X17" s="3" t="s">
        <v>14</v>
      </c>
      <c r="Y17" s="1">
        <f t="shared" ref="Y17:AR17" si="26">SUM(Y2:Y16)</f>
        <v>89.1</v>
      </c>
      <c r="Z17" s="1">
        <f t="shared" si="26"/>
        <v>115.70000000000002</v>
      </c>
      <c r="AA17" s="1">
        <f t="shared" si="26"/>
        <v>137.12</v>
      </c>
      <c r="AB17" s="1">
        <f t="shared" si="26"/>
        <v>151.03999999999996</v>
      </c>
      <c r="AC17" s="1">
        <f t="shared" si="26"/>
        <v>175.51999999999998</v>
      </c>
      <c r="AD17" s="1">
        <f t="shared" si="26"/>
        <v>194.76000000000002</v>
      </c>
      <c r="AE17" s="1">
        <f t="shared" si="26"/>
        <v>213.875</v>
      </c>
      <c r="AF17" s="1">
        <f t="shared" si="26"/>
        <v>233.35000000000002</v>
      </c>
      <c r="AG17" s="1">
        <f t="shared" si="26"/>
        <v>251.75000000000003</v>
      </c>
      <c r="AH17" s="1">
        <f t="shared" si="26"/>
        <v>260.08</v>
      </c>
      <c r="AI17" s="1">
        <f t="shared" si="26"/>
        <v>274.91500000000002</v>
      </c>
      <c r="AJ17" s="1">
        <f t="shared" si="26"/>
        <v>279.59499999999997</v>
      </c>
      <c r="AK17" s="1">
        <f t="shared" si="26"/>
        <v>291.26499999999993</v>
      </c>
      <c r="AL17" s="1">
        <f t="shared" si="26"/>
        <v>301.59499999999997</v>
      </c>
      <c r="AM17" s="1">
        <f t="shared" si="26"/>
        <v>329.3599999999999</v>
      </c>
      <c r="AN17" s="1">
        <f t="shared" si="26"/>
        <v>333.06</v>
      </c>
      <c r="AO17" s="1">
        <f t="shared" si="26"/>
        <v>329.59499999999991</v>
      </c>
      <c r="AP17" s="1">
        <f t="shared" si="26"/>
        <v>345.71000000000004</v>
      </c>
      <c r="AQ17" s="1">
        <f t="shared" si="26"/>
        <v>338.35</v>
      </c>
      <c r="AR17" s="1">
        <f t="shared" si="26"/>
        <v>346.875</v>
      </c>
    </row>
    <row r="18" spans="1:4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44" x14ac:dyDescent="0.2">
      <c r="Y19" s="1">
        <v>100</v>
      </c>
      <c r="Z19" s="1">
        <v>120</v>
      </c>
      <c r="AA19" s="1">
        <v>140</v>
      </c>
      <c r="AB19" s="1">
        <v>160</v>
      </c>
      <c r="AC19" s="1">
        <v>180</v>
      </c>
      <c r="AD19" s="1">
        <v>200</v>
      </c>
      <c r="AE19" s="1">
        <v>215</v>
      </c>
      <c r="AF19" s="1">
        <v>235</v>
      </c>
      <c r="AG19" s="1">
        <v>255</v>
      </c>
      <c r="AH19" s="1">
        <v>270</v>
      </c>
      <c r="AI19" s="1">
        <v>290</v>
      </c>
      <c r="AJ19" s="1">
        <v>305</v>
      </c>
      <c r="AK19" s="1">
        <v>325</v>
      </c>
      <c r="AL19" s="1">
        <v>345</v>
      </c>
      <c r="AM19" s="1">
        <v>365</v>
      </c>
      <c r="AN19" s="1">
        <v>385</v>
      </c>
      <c r="AO19" s="1">
        <v>405</v>
      </c>
      <c r="AP19" s="1">
        <v>425</v>
      </c>
      <c r="AQ19" s="1">
        <v>445</v>
      </c>
      <c r="AR19" s="1">
        <v>465</v>
      </c>
    </row>
    <row r="20" spans="1:44" ht="16" x14ac:dyDescent="0.2">
      <c r="A20" s="15"/>
      <c r="B20" s="15"/>
      <c r="C20" s="16"/>
      <c r="D20" s="16"/>
    </row>
    <row r="21" spans="1:44" ht="16" x14ac:dyDescent="0.2">
      <c r="A21" s="15"/>
      <c r="B21" s="15"/>
      <c r="C21" s="16"/>
      <c r="D21" s="16"/>
      <c r="Y21" s="1">
        <f>Y17</f>
        <v>89.1</v>
      </c>
      <c r="Z21" s="1">
        <f>SUM(Y21+Z17)</f>
        <v>204.8</v>
      </c>
      <c r="AA21" s="1">
        <f>SUM(Z21+AA17)</f>
        <v>341.92</v>
      </c>
      <c r="AB21" s="1">
        <f>SUM(AA21+AB17)</f>
        <v>492.96</v>
      </c>
      <c r="AC21" s="1">
        <f t="shared" ref="AC21:AR21" si="27">SUM(AB21+AC17)</f>
        <v>668.48</v>
      </c>
      <c r="AD21" s="1">
        <f t="shared" si="27"/>
        <v>863.24</v>
      </c>
      <c r="AE21" s="1">
        <f t="shared" si="27"/>
        <v>1077.115</v>
      </c>
      <c r="AF21" s="1">
        <f t="shared" si="27"/>
        <v>1310.4650000000001</v>
      </c>
      <c r="AG21" s="1">
        <f t="shared" si="27"/>
        <v>1562.2150000000001</v>
      </c>
      <c r="AH21" s="1">
        <f t="shared" si="27"/>
        <v>1822.2950000000001</v>
      </c>
      <c r="AI21" s="1">
        <f t="shared" si="27"/>
        <v>2097.21</v>
      </c>
      <c r="AJ21" s="1">
        <f t="shared" si="27"/>
        <v>2376.8049999999998</v>
      </c>
      <c r="AK21" s="1">
        <f t="shared" si="27"/>
        <v>2668.0699999999997</v>
      </c>
      <c r="AL21" s="1">
        <f t="shared" si="27"/>
        <v>2969.6649999999995</v>
      </c>
      <c r="AM21" s="1">
        <f t="shared" si="27"/>
        <v>3299.0249999999996</v>
      </c>
      <c r="AN21" s="1">
        <f t="shared" si="27"/>
        <v>3632.0849999999996</v>
      </c>
      <c r="AO21" s="1">
        <f t="shared" si="27"/>
        <v>3961.6799999999994</v>
      </c>
      <c r="AP21" s="1">
        <f t="shared" si="27"/>
        <v>4307.3899999999994</v>
      </c>
      <c r="AQ21" s="1">
        <f t="shared" si="27"/>
        <v>4645.74</v>
      </c>
      <c r="AR21" s="1">
        <f t="shared" si="27"/>
        <v>4992.6149999999998</v>
      </c>
    </row>
    <row r="22" spans="1:44" ht="16" x14ac:dyDescent="0.2">
      <c r="A22" s="15"/>
      <c r="B22" s="15"/>
      <c r="C22" s="1"/>
      <c r="D22" s="1"/>
      <c r="Y22" s="3"/>
      <c r="Z22" s="3"/>
      <c r="AA22" s="3"/>
      <c r="AB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6" x14ac:dyDescent="0.2">
      <c r="A23" s="15"/>
      <c r="B23" s="15"/>
      <c r="C23" s="1"/>
      <c r="D23" s="1"/>
      <c r="Y23" s="1">
        <v>100</v>
      </c>
      <c r="Z23" s="1">
        <f>SUM(Y23+Z19)</f>
        <v>220</v>
      </c>
      <c r="AA23" s="1">
        <f>SUM(Z23+AA19)</f>
        <v>360</v>
      </c>
      <c r="AB23" s="1">
        <f>SUM(AA23+AB19)</f>
        <v>520</v>
      </c>
      <c r="AC23" s="1">
        <f t="shared" ref="AC23:AR23" si="28">SUM(AB23+AC19)</f>
        <v>700</v>
      </c>
      <c r="AD23" s="1">
        <f t="shared" si="28"/>
        <v>900</v>
      </c>
      <c r="AE23" s="1">
        <f t="shared" si="28"/>
        <v>1115</v>
      </c>
      <c r="AF23" s="1">
        <f t="shared" si="28"/>
        <v>1350</v>
      </c>
      <c r="AG23" s="1">
        <f t="shared" si="28"/>
        <v>1605</v>
      </c>
      <c r="AH23" s="1">
        <f t="shared" si="28"/>
        <v>1875</v>
      </c>
      <c r="AI23" s="1">
        <f t="shared" si="28"/>
        <v>2165</v>
      </c>
      <c r="AJ23" s="1">
        <f t="shared" si="28"/>
        <v>2470</v>
      </c>
      <c r="AK23" s="1">
        <f t="shared" si="28"/>
        <v>2795</v>
      </c>
      <c r="AL23" s="1">
        <f t="shared" si="28"/>
        <v>3140</v>
      </c>
      <c r="AM23" s="1">
        <f t="shared" si="28"/>
        <v>3505</v>
      </c>
      <c r="AN23" s="1">
        <f t="shared" si="28"/>
        <v>3890</v>
      </c>
      <c r="AO23" s="1">
        <f t="shared" si="28"/>
        <v>4295</v>
      </c>
      <c r="AP23" s="1">
        <f t="shared" si="28"/>
        <v>4720</v>
      </c>
      <c r="AQ23" s="1">
        <f t="shared" si="28"/>
        <v>5165</v>
      </c>
      <c r="AR23" s="1">
        <f t="shared" si="28"/>
        <v>5630</v>
      </c>
    </row>
    <row r="24" spans="1:44" ht="16" x14ac:dyDescent="0.2">
      <c r="A24" s="15"/>
      <c r="B24" s="15"/>
      <c r="C24" s="1"/>
      <c r="D24" s="1"/>
    </row>
    <row r="25" spans="1:44" ht="16" x14ac:dyDescent="0.2">
      <c r="A25" s="15"/>
      <c r="B25" s="15"/>
      <c r="C25" s="1"/>
      <c r="D25" s="1"/>
      <c r="Y25" s="4" t="s">
        <v>1563</v>
      </c>
      <c r="Z25" s="4" t="s">
        <v>1563</v>
      </c>
      <c r="AA25" s="4" t="s">
        <v>1563</v>
      </c>
      <c r="AB25" s="4" t="s">
        <v>1563</v>
      </c>
      <c r="AC25" s="4" t="s">
        <v>1563</v>
      </c>
      <c r="AD25" s="4" t="s">
        <v>1563</v>
      </c>
      <c r="AE25" s="4" t="s">
        <v>1563</v>
      </c>
      <c r="AF25" s="4" t="s">
        <v>1563</v>
      </c>
      <c r="AG25" s="4" t="s">
        <v>1563</v>
      </c>
      <c r="AH25" s="4" t="s">
        <v>1563</v>
      </c>
      <c r="AI25" s="4" t="s">
        <v>1563</v>
      </c>
      <c r="AJ25" s="4" t="s">
        <v>1563</v>
      </c>
      <c r="AK25" s="4" t="s">
        <v>1563</v>
      </c>
      <c r="AL25" s="4" t="s">
        <v>1563</v>
      </c>
      <c r="AM25" s="4" t="s">
        <v>1563</v>
      </c>
      <c r="AN25" s="4" t="s">
        <v>1563</v>
      </c>
      <c r="AO25" s="4" t="s">
        <v>1563</v>
      </c>
      <c r="AP25" s="4" t="s">
        <v>1563</v>
      </c>
      <c r="AQ25" s="4" t="s">
        <v>1563</v>
      </c>
      <c r="AR25" s="4" t="s">
        <v>1563</v>
      </c>
    </row>
    <row r="26" spans="1:44" ht="16" x14ac:dyDescent="0.2">
      <c r="A26" s="15"/>
      <c r="B26" s="15"/>
      <c r="C26" s="1"/>
      <c r="D26" s="1"/>
      <c r="Y26" s="6">
        <f>(Y21/Y23)*100</f>
        <v>89.1</v>
      </c>
      <c r="Z26" s="6">
        <f>(Z21/Z23)*100</f>
        <v>93.090909090909093</v>
      </c>
      <c r="AA26" s="6">
        <f>(AA21/AA23)*100</f>
        <v>94.977777777777789</v>
      </c>
      <c r="AB26" s="6">
        <f>(AB21/AB23)*100</f>
        <v>94.8</v>
      </c>
      <c r="AC26" s="6">
        <f t="shared" ref="AC26:AR26" si="29">(AC21/AC23)*100</f>
        <v>95.497142857142862</v>
      </c>
      <c r="AD26" s="6">
        <f t="shared" si="29"/>
        <v>95.915555555555557</v>
      </c>
      <c r="AE26" s="6">
        <f t="shared" si="29"/>
        <v>96.60224215246636</v>
      </c>
      <c r="AF26" s="6">
        <f t="shared" si="29"/>
        <v>97.071481481481499</v>
      </c>
      <c r="AG26" s="6">
        <f t="shared" si="29"/>
        <v>97.334267912772603</v>
      </c>
      <c r="AH26" s="6">
        <f t="shared" si="29"/>
        <v>97.189066666666662</v>
      </c>
      <c r="AI26" s="6">
        <f t="shared" si="29"/>
        <v>96.8688221709007</v>
      </c>
      <c r="AJ26" s="6">
        <f t="shared" si="29"/>
        <v>96.226923076923072</v>
      </c>
      <c r="AK26" s="6">
        <f t="shared" si="29"/>
        <v>95.458676207513406</v>
      </c>
      <c r="AL26" s="6">
        <f t="shared" si="29"/>
        <v>94.575318471337567</v>
      </c>
      <c r="AM26" s="6">
        <f t="shared" si="29"/>
        <v>94.123395149786006</v>
      </c>
      <c r="AN26" s="6">
        <f t="shared" si="29"/>
        <v>93.369794344473007</v>
      </c>
      <c r="AO26" s="6">
        <f t="shared" si="29"/>
        <v>92.2393480791618</v>
      </c>
      <c r="AP26" s="6">
        <f t="shared" si="29"/>
        <v>91.25826271186439</v>
      </c>
      <c r="AQ26" s="6">
        <f t="shared" si="29"/>
        <v>89.946563407550812</v>
      </c>
      <c r="AR26" s="6">
        <f t="shared" si="29"/>
        <v>88.678774422735344</v>
      </c>
    </row>
    <row r="27" spans="1:44" ht="16" x14ac:dyDescent="0.2">
      <c r="A27" s="15"/>
      <c r="B27" s="15"/>
      <c r="C27" s="1"/>
      <c r="D27" s="1"/>
    </row>
    <row r="28" spans="1:44" ht="16" x14ac:dyDescent="0.2">
      <c r="A28" s="15"/>
      <c r="B28" s="15"/>
      <c r="C28" s="1"/>
      <c r="D28" s="1"/>
    </row>
    <row r="29" spans="1:44" ht="16" x14ac:dyDescent="0.2">
      <c r="A29" s="15"/>
      <c r="B29" s="15"/>
      <c r="C29" s="1"/>
      <c r="D29" s="1"/>
    </row>
    <row r="30" spans="1:44" ht="16" x14ac:dyDescent="0.2">
      <c r="A30" s="15"/>
      <c r="B30" s="15"/>
      <c r="C30" s="1"/>
      <c r="D30" s="1"/>
    </row>
    <row r="31" spans="1:44" ht="16" x14ac:dyDescent="0.2">
      <c r="A31" s="15"/>
      <c r="B31" s="15"/>
      <c r="C31" s="1"/>
      <c r="D31" s="1"/>
    </row>
  </sheetData>
  <pageMargins left="0.7" right="0.7" top="0.75" bottom="0.75" header="0.3" footer="0.3"/>
  <pageSetup paperSize="9" orientation="portrait" horizontalDpi="4294967292" verticalDpi="4294967292"/>
  <ignoredErrors>
    <ignoredError sqref="AD9 AI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27"/>
  <sheetViews>
    <sheetView workbookViewId="0">
      <selection activeCell="J19" sqref="J19:N19"/>
    </sheetView>
  </sheetViews>
  <sheetFormatPr baseColWidth="10" defaultRowHeight="15" x14ac:dyDescent="0.2"/>
  <cols>
    <col min="2" max="2" width="25.5" customWidth="1"/>
  </cols>
  <sheetData>
    <row r="1" spans="1:16" ht="16" x14ac:dyDescent="0.2">
      <c r="A1" s="3" t="s">
        <v>15</v>
      </c>
      <c r="B1" s="24" t="s">
        <v>681</v>
      </c>
      <c r="C1" s="3">
        <v>1926</v>
      </c>
      <c r="D1" s="3">
        <v>1928</v>
      </c>
      <c r="E1" s="3">
        <v>1932</v>
      </c>
      <c r="F1" s="3">
        <v>1933</v>
      </c>
      <c r="G1" s="3">
        <v>1936</v>
      </c>
      <c r="J1" s="3">
        <v>1926</v>
      </c>
      <c r="K1" s="3">
        <v>1928</v>
      </c>
      <c r="L1" s="3">
        <v>1932</v>
      </c>
      <c r="M1" s="3">
        <v>1933</v>
      </c>
      <c r="N1" s="3">
        <v>1936</v>
      </c>
    </row>
    <row r="2" spans="1:16" ht="16" x14ac:dyDescent="0.2">
      <c r="A2" s="8" t="s">
        <v>345</v>
      </c>
      <c r="B2" s="16" t="s">
        <v>698</v>
      </c>
      <c r="C2" s="6">
        <v>31.630063690014111</v>
      </c>
      <c r="D2" s="1">
        <v>46.9</v>
      </c>
      <c r="E2" s="1">
        <v>33.4</v>
      </c>
      <c r="F2" s="1">
        <v>33.299999999999997</v>
      </c>
      <c r="G2" s="1">
        <v>37.299999999999997</v>
      </c>
      <c r="J2" s="6">
        <v>31.630063690014111</v>
      </c>
      <c r="K2" s="1">
        <f>(D2*0.2)+D2</f>
        <v>56.28</v>
      </c>
      <c r="L2" s="1">
        <f>(E2*0.4)+E2</f>
        <v>46.76</v>
      </c>
      <c r="M2" s="1">
        <f>(F2*0.6)+F2</f>
        <v>53.279999999999994</v>
      </c>
      <c r="N2" s="1">
        <f>(G2*0.8)+G2</f>
        <v>67.14</v>
      </c>
    </row>
    <row r="3" spans="1:16" ht="16" x14ac:dyDescent="0.2">
      <c r="A3" s="8" t="s">
        <v>267</v>
      </c>
      <c r="B3" s="16" t="s">
        <v>776</v>
      </c>
      <c r="C3" s="6">
        <v>20.267594053372733</v>
      </c>
      <c r="D3" s="1">
        <v>23.9</v>
      </c>
      <c r="E3" s="1">
        <v>33.799999999999997</v>
      </c>
      <c r="F3" s="1">
        <v>38.1</v>
      </c>
      <c r="G3" s="1">
        <v>22.1</v>
      </c>
      <c r="J3" s="6">
        <v>20.267594053372733</v>
      </c>
      <c r="K3" s="1">
        <f t="shared" ref="K3:K8" si="0">(D3*0.2)+D3</f>
        <v>28.68</v>
      </c>
      <c r="L3" s="1">
        <f t="shared" ref="L3:L8" si="1">(E3*0.4)+E3</f>
        <v>47.319999999999993</v>
      </c>
      <c r="M3" s="1">
        <f t="shared" ref="M3:M8" si="2">(F3*0.6)+F3</f>
        <v>60.96</v>
      </c>
      <c r="N3" s="1">
        <f t="shared" ref="N3:N6" si="3">(G3*0.8)+G3</f>
        <v>39.78</v>
      </c>
    </row>
    <row r="4" spans="1:16" ht="16" x14ac:dyDescent="0.2">
      <c r="A4" s="8" t="s">
        <v>218</v>
      </c>
      <c r="B4" s="16" t="s">
        <v>1100</v>
      </c>
      <c r="C4" s="6">
        <v>15.760148248315931</v>
      </c>
      <c r="D4" s="1">
        <v>5.3</v>
      </c>
      <c r="E4" s="1">
        <v>1.6</v>
      </c>
      <c r="F4" s="1">
        <v>2.2999999999999998</v>
      </c>
      <c r="G4" s="1">
        <v>3.9</v>
      </c>
      <c r="J4" s="6">
        <v>15.760148248315931</v>
      </c>
      <c r="K4" s="1">
        <f t="shared" si="0"/>
        <v>6.3599999999999994</v>
      </c>
      <c r="L4" s="1">
        <f t="shared" si="1"/>
        <v>2.2400000000000002</v>
      </c>
      <c r="M4" s="1">
        <f t="shared" si="2"/>
        <v>3.6799999999999997</v>
      </c>
      <c r="N4" s="1">
        <f t="shared" si="3"/>
        <v>7.02</v>
      </c>
    </row>
    <row r="5" spans="1:16" ht="16" x14ac:dyDescent="0.2">
      <c r="A5" s="8" t="s">
        <v>346</v>
      </c>
      <c r="B5" s="16" t="s">
        <v>1101</v>
      </c>
      <c r="C5" s="6">
        <v>6.4781425554470404</v>
      </c>
      <c r="D5" s="1">
        <v>6.7</v>
      </c>
      <c r="E5" s="1">
        <v>5.9</v>
      </c>
      <c r="F5" s="1">
        <v>4.2</v>
      </c>
      <c r="G5" s="1">
        <v>4.2</v>
      </c>
      <c r="J5" s="6">
        <v>6.4781425554470404</v>
      </c>
      <c r="K5" s="1">
        <f t="shared" si="0"/>
        <v>8.0400000000000009</v>
      </c>
      <c r="L5" s="1">
        <f t="shared" si="1"/>
        <v>8.2600000000000016</v>
      </c>
      <c r="M5" s="1">
        <f t="shared" si="2"/>
        <v>6.7200000000000006</v>
      </c>
      <c r="N5" s="1">
        <f t="shared" si="3"/>
        <v>7.5600000000000005</v>
      </c>
    </row>
    <row r="6" spans="1:16" ht="16" x14ac:dyDescent="0.2">
      <c r="A6" s="8" t="s">
        <v>347</v>
      </c>
      <c r="B6" s="16" t="s">
        <v>1087</v>
      </c>
      <c r="C6" s="6">
        <v>4.3804622743094681</v>
      </c>
      <c r="D6" s="1">
        <v>1.4</v>
      </c>
      <c r="E6" s="1">
        <v>5</v>
      </c>
      <c r="F6" s="1">
        <v>4.5999999999999996</v>
      </c>
      <c r="G6" s="1">
        <v>5.8</v>
      </c>
      <c r="J6" s="6">
        <v>4.3804622743094681</v>
      </c>
      <c r="K6" s="1">
        <f t="shared" si="0"/>
        <v>1.68</v>
      </c>
      <c r="L6" s="1">
        <f t="shared" si="1"/>
        <v>7</v>
      </c>
      <c r="M6" s="1">
        <f t="shared" si="2"/>
        <v>7.3599999999999994</v>
      </c>
      <c r="N6" s="1">
        <f t="shared" si="3"/>
        <v>10.44</v>
      </c>
    </row>
    <row r="7" spans="1:16" ht="16" x14ac:dyDescent="0.2">
      <c r="A7" s="8" t="s">
        <v>101</v>
      </c>
      <c r="B7" s="16" t="s">
        <v>1102</v>
      </c>
      <c r="C7" s="6">
        <v>2.9547408576031517</v>
      </c>
      <c r="D7" s="1">
        <v>1.7</v>
      </c>
      <c r="E7" s="1">
        <v>6.2</v>
      </c>
      <c r="F7" s="1">
        <v>1.8</v>
      </c>
      <c r="J7" s="6">
        <v>2.9547408576031517</v>
      </c>
      <c r="K7" s="1">
        <f t="shared" si="0"/>
        <v>2.04</v>
      </c>
      <c r="L7" s="1">
        <f t="shared" si="1"/>
        <v>8.68</v>
      </c>
      <c r="M7" s="1">
        <f t="shared" si="2"/>
        <v>2.88</v>
      </c>
      <c r="N7" s="1"/>
    </row>
    <row r="8" spans="1:16" ht="16" x14ac:dyDescent="0.2">
      <c r="A8" s="8" t="s">
        <v>212</v>
      </c>
      <c r="B8" s="16" t="s">
        <v>1054</v>
      </c>
      <c r="D8" s="6">
        <v>2.5</v>
      </c>
      <c r="E8" s="1">
        <v>8.4</v>
      </c>
      <c r="F8" s="1">
        <v>6.8</v>
      </c>
      <c r="J8" s="11"/>
      <c r="K8" s="1">
        <f t="shared" si="0"/>
        <v>3</v>
      </c>
      <c r="L8" s="1">
        <f t="shared" si="1"/>
        <v>11.760000000000002</v>
      </c>
      <c r="M8" s="1">
        <f t="shared" si="2"/>
        <v>10.879999999999999</v>
      </c>
      <c r="N8" s="1"/>
    </row>
    <row r="9" spans="1:16" ht="16" x14ac:dyDescent="0.2">
      <c r="A9" s="8" t="s">
        <v>522</v>
      </c>
      <c r="B9" s="16" t="s">
        <v>1103</v>
      </c>
      <c r="D9" s="6">
        <v>3.8</v>
      </c>
      <c r="E9" s="1"/>
      <c r="F9" s="1"/>
      <c r="J9" s="11"/>
      <c r="K9" s="1">
        <v>3.8</v>
      </c>
      <c r="L9" s="1"/>
      <c r="M9" s="1"/>
      <c r="N9" s="1"/>
    </row>
    <row r="10" spans="1:16" ht="16" x14ac:dyDescent="0.2">
      <c r="A10" s="8" t="s">
        <v>523</v>
      </c>
      <c r="B10" s="16" t="s">
        <v>1104</v>
      </c>
      <c r="D10" s="6">
        <v>2.7</v>
      </c>
      <c r="E10" s="1">
        <v>4.0999999999999996</v>
      </c>
      <c r="F10" s="6">
        <v>4.0999999999999996</v>
      </c>
      <c r="G10" s="1">
        <v>19.899999999999999</v>
      </c>
      <c r="J10" s="11"/>
      <c r="K10" s="6">
        <v>2.7</v>
      </c>
      <c r="L10" s="1">
        <f>(E10*0.2)+E10</f>
        <v>4.92</v>
      </c>
      <c r="M10" s="1">
        <f>(F10*0.4)+F10</f>
        <v>5.7399999999999993</v>
      </c>
      <c r="N10" s="1">
        <f>(G10*0.6)+G10</f>
        <v>31.839999999999996</v>
      </c>
    </row>
    <row r="11" spans="1:16" x14ac:dyDescent="0.2">
      <c r="E11" s="10"/>
      <c r="F11" s="9"/>
      <c r="I11" s="3" t="s">
        <v>14</v>
      </c>
      <c r="J11" s="6">
        <f>SUM(J2:J10)</f>
        <v>81.47115167906243</v>
      </c>
      <c r="K11" s="6">
        <f>SUM(K2:K10)</f>
        <v>112.58000000000003</v>
      </c>
      <c r="L11" s="6">
        <f>SUM(L2:L10)</f>
        <v>136.93999999999997</v>
      </c>
      <c r="M11" s="6">
        <f>SUM(M2:M10)</f>
        <v>151.5</v>
      </c>
      <c r="N11" s="6">
        <f>SUM(N2:N10)</f>
        <v>163.78</v>
      </c>
      <c r="O11" s="6"/>
      <c r="P11" s="5"/>
    </row>
    <row r="12" spans="1:16" x14ac:dyDescent="0.2">
      <c r="F12" s="9"/>
      <c r="O12" s="1"/>
    </row>
    <row r="13" spans="1:16" x14ac:dyDescent="0.2">
      <c r="F13" s="9"/>
      <c r="J13" s="1">
        <v>100</v>
      </c>
      <c r="K13" s="1">
        <v>120</v>
      </c>
      <c r="L13" s="1">
        <v>140</v>
      </c>
      <c r="M13" s="1">
        <v>160</v>
      </c>
      <c r="N13" s="1">
        <v>180</v>
      </c>
      <c r="O13" s="1"/>
    </row>
    <row r="14" spans="1:16" x14ac:dyDescent="0.2">
      <c r="F14" s="9"/>
    </row>
    <row r="15" spans="1:16" x14ac:dyDescent="0.2">
      <c r="F15" s="9"/>
      <c r="J15" s="1">
        <f>J11</f>
        <v>81.47115167906243</v>
      </c>
      <c r="K15" s="1">
        <f>SUM(J15+K11)</f>
        <v>194.05115167906246</v>
      </c>
      <c r="L15" s="1">
        <f>SUM(K15+L11)</f>
        <v>330.99115167906245</v>
      </c>
      <c r="M15" s="1">
        <f>SUM(L15+M11)</f>
        <v>482.49115167906245</v>
      </c>
      <c r="N15" s="1">
        <f t="shared" ref="N15" si="4">SUM(M15+N11)</f>
        <v>646.27115167906243</v>
      </c>
      <c r="O15" s="1"/>
    </row>
    <row r="16" spans="1:16" x14ac:dyDescent="0.2">
      <c r="F16" s="9"/>
      <c r="J16" s="3"/>
      <c r="K16" s="3"/>
      <c r="L16" s="3"/>
      <c r="M16" s="3"/>
      <c r="N16" s="1"/>
      <c r="O16" s="1"/>
    </row>
    <row r="17" spans="1:16" x14ac:dyDescent="0.2">
      <c r="F17" s="9"/>
      <c r="J17" s="1">
        <v>100</v>
      </c>
      <c r="K17" s="1">
        <f>SUM(J17+K13)</f>
        <v>220</v>
      </c>
      <c r="L17" s="1">
        <f>SUM(K17+L13)</f>
        <v>360</v>
      </c>
      <c r="M17" s="1">
        <f>SUM(L17+M13)</f>
        <v>520</v>
      </c>
      <c r="N17" s="1">
        <f t="shared" ref="N17" si="5">SUM(M17+N13)</f>
        <v>700</v>
      </c>
      <c r="O17" s="1"/>
      <c r="P17" s="9"/>
    </row>
    <row r="18" spans="1:16" x14ac:dyDescent="0.2">
      <c r="F18" s="9"/>
    </row>
    <row r="19" spans="1:16" ht="16" x14ac:dyDescent="0.2">
      <c r="A19" s="15"/>
      <c r="B19" s="15"/>
      <c r="C19" s="16"/>
      <c r="J19" s="4" t="s">
        <v>1563</v>
      </c>
      <c r="K19" s="4" t="s">
        <v>1563</v>
      </c>
      <c r="L19" s="4" t="s">
        <v>1563</v>
      </c>
      <c r="M19" s="4" t="s">
        <v>1563</v>
      </c>
      <c r="N19" s="4" t="s">
        <v>1563</v>
      </c>
      <c r="O19" s="4"/>
    </row>
    <row r="20" spans="1:16" ht="16" x14ac:dyDescent="0.2">
      <c r="A20" s="15"/>
      <c r="B20" s="15"/>
      <c r="C20" s="16"/>
      <c r="J20" s="6">
        <f>(J15/J17)*100</f>
        <v>81.47115167906243</v>
      </c>
      <c r="K20" s="6">
        <f>(K15/K17)*100</f>
        <v>88.205068945028387</v>
      </c>
      <c r="L20" s="6">
        <f>(L15/L17)*100</f>
        <v>91.941986577517355</v>
      </c>
      <c r="M20" s="6">
        <f>(M15/M17)*100</f>
        <v>92.786759938281236</v>
      </c>
      <c r="N20" s="6">
        <f t="shared" ref="N20" si="6">(N15/N17)*100</f>
        <v>92.324450239866067</v>
      </c>
      <c r="O20" s="6"/>
    </row>
    <row r="21" spans="1:16" ht="16" x14ac:dyDescent="0.2">
      <c r="A21" s="15"/>
      <c r="B21" s="15"/>
      <c r="C21" s="16"/>
    </row>
    <row r="22" spans="1:16" ht="16" x14ac:dyDescent="0.2">
      <c r="A22" s="15"/>
      <c r="B22" s="15"/>
      <c r="C22" s="16"/>
    </row>
    <row r="23" spans="1:16" ht="16" x14ac:dyDescent="0.2">
      <c r="A23" s="15"/>
      <c r="B23" s="15"/>
      <c r="C23" s="16"/>
    </row>
    <row r="24" spans="1:16" ht="16" x14ac:dyDescent="0.2">
      <c r="A24" s="15"/>
      <c r="B24" s="15"/>
      <c r="C24" s="16"/>
    </row>
    <row r="25" spans="1:16" ht="16" x14ac:dyDescent="0.2">
      <c r="A25" s="15"/>
      <c r="B25" s="15"/>
      <c r="C25" s="16"/>
    </row>
    <row r="26" spans="1:16" ht="16" x14ac:dyDescent="0.2">
      <c r="A26" s="15"/>
      <c r="B26" s="15"/>
      <c r="C26" s="16"/>
    </row>
    <row r="27" spans="1:16" ht="16" x14ac:dyDescent="0.2">
      <c r="A27" s="15"/>
      <c r="B27" s="15"/>
      <c r="C27" s="16"/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7"/>
  <sheetViews>
    <sheetView workbookViewId="0">
      <selection activeCell="E16" sqref="E16"/>
    </sheetView>
  </sheetViews>
  <sheetFormatPr baseColWidth="10" defaultRowHeight="15" x14ac:dyDescent="0.2"/>
  <cols>
    <col min="2" max="2" width="28.1640625" customWidth="1"/>
  </cols>
  <sheetData>
    <row r="1" spans="1:5" ht="16" x14ac:dyDescent="0.2">
      <c r="A1" s="3" t="s">
        <v>15</v>
      </c>
      <c r="B1" s="24" t="s">
        <v>681</v>
      </c>
      <c r="C1" s="3">
        <v>1946</v>
      </c>
      <c r="E1" s="3">
        <v>1946</v>
      </c>
    </row>
    <row r="2" spans="1:5" ht="16" x14ac:dyDescent="0.2">
      <c r="A2" s="8" t="s">
        <v>267</v>
      </c>
      <c r="B2" s="16" t="s">
        <v>776</v>
      </c>
      <c r="C2" s="1">
        <v>44.1</v>
      </c>
      <c r="E2" s="1">
        <v>44.1</v>
      </c>
    </row>
    <row r="3" spans="1:5" ht="16" x14ac:dyDescent="0.2">
      <c r="A3" s="8" t="s">
        <v>1370</v>
      </c>
      <c r="B3" s="16" t="s">
        <v>699</v>
      </c>
      <c r="C3" s="1">
        <v>10.7</v>
      </c>
      <c r="E3" s="1">
        <v>10.7</v>
      </c>
    </row>
    <row r="4" spans="1:5" x14ac:dyDescent="0.2">
      <c r="A4" s="1" t="s">
        <v>1373</v>
      </c>
      <c r="B4" s="1" t="s">
        <v>1374</v>
      </c>
      <c r="C4" s="1">
        <v>8.8000000000000007</v>
      </c>
      <c r="E4" s="1">
        <v>8.8000000000000007</v>
      </c>
    </row>
    <row r="5" spans="1:5" x14ac:dyDescent="0.2">
      <c r="A5" s="1" t="s">
        <v>1371</v>
      </c>
      <c r="B5" s="1" t="s">
        <v>1372</v>
      </c>
      <c r="C5" s="1">
        <v>7.6</v>
      </c>
      <c r="E5" s="1">
        <v>7.6</v>
      </c>
    </row>
    <row r="6" spans="1:5" ht="16" x14ac:dyDescent="0.2">
      <c r="A6" s="8" t="s">
        <v>345</v>
      </c>
      <c r="B6" s="16" t="s">
        <v>698</v>
      </c>
      <c r="C6" s="1">
        <v>14.4</v>
      </c>
      <c r="E6" s="1">
        <v>14.4</v>
      </c>
    </row>
    <row r="7" spans="1:5" x14ac:dyDescent="0.2">
      <c r="A7" s="1" t="s">
        <v>1368</v>
      </c>
      <c r="B7" s="1" t="s">
        <v>1369</v>
      </c>
      <c r="C7" s="1">
        <v>6</v>
      </c>
      <c r="E7" s="1">
        <v>6</v>
      </c>
    </row>
    <row r="8" spans="1:5" x14ac:dyDescent="0.2">
      <c r="D8" s="3" t="s">
        <v>14</v>
      </c>
      <c r="E8" s="1">
        <f>SUM(E2:E7)</f>
        <v>91.6</v>
      </c>
    </row>
    <row r="10" spans="1:5" x14ac:dyDescent="0.2">
      <c r="E10" s="1">
        <v>100</v>
      </c>
    </row>
    <row r="12" spans="1:5" x14ac:dyDescent="0.2">
      <c r="E12" s="1">
        <f>E8</f>
        <v>91.6</v>
      </c>
    </row>
    <row r="13" spans="1:5" x14ac:dyDescent="0.2">
      <c r="E13" s="3"/>
    </row>
    <row r="14" spans="1:5" x14ac:dyDescent="0.2">
      <c r="E14" s="1">
        <v>100</v>
      </c>
    </row>
    <row r="16" spans="1:5" x14ac:dyDescent="0.2">
      <c r="E16" s="4" t="s">
        <v>1563</v>
      </c>
    </row>
    <row r="17" spans="5:5" x14ac:dyDescent="0.2">
      <c r="E17" s="6">
        <f>(E12/E14)*100</f>
        <v>91.6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Q43"/>
  <sheetViews>
    <sheetView topLeftCell="N1" workbookViewId="0">
      <selection activeCell="X31" sqref="X31:AQ31"/>
    </sheetView>
  </sheetViews>
  <sheetFormatPr baseColWidth="10" defaultRowHeight="15" x14ac:dyDescent="0.2"/>
  <cols>
    <col min="2" max="2" width="27.83203125" customWidth="1"/>
  </cols>
  <sheetData>
    <row r="1" spans="1:43" ht="16" x14ac:dyDescent="0.2">
      <c r="A1" s="3" t="s">
        <v>15</v>
      </c>
      <c r="B1" s="24" t="s">
        <v>681</v>
      </c>
      <c r="C1" s="3">
        <v>1974</v>
      </c>
      <c r="D1" s="3">
        <v>1977</v>
      </c>
      <c r="E1" s="3">
        <v>1981</v>
      </c>
      <c r="F1" s="3">
        <v>1985</v>
      </c>
      <c r="G1" s="3" t="s">
        <v>25</v>
      </c>
      <c r="H1" s="3" t="s">
        <v>26</v>
      </c>
      <c r="I1" s="3">
        <v>1990</v>
      </c>
      <c r="J1" s="3">
        <v>1993</v>
      </c>
      <c r="K1" s="3">
        <v>1996</v>
      </c>
      <c r="L1" s="3">
        <v>2000</v>
      </c>
      <c r="M1" s="3">
        <v>2004</v>
      </c>
      <c r="N1" s="3">
        <v>2007</v>
      </c>
      <c r="O1" s="3">
        <v>2009</v>
      </c>
      <c r="P1" s="3" t="s">
        <v>27</v>
      </c>
      <c r="Q1" s="3" t="s">
        <v>28</v>
      </c>
      <c r="R1" s="3">
        <v>2015</v>
      </c>
      <c r="S1" s="3" t="s">
        <v>411</v>
      </c>
      <c r="T1" s="3">
        <v>2019</v>
      </c>
      <c r="U1" s="3" t="s">
        <v>1520</v>
      </c>
      <c r="V1" s="3" t="s">
        <v>1521</v>
      </c>
      <c r="X1" s="3">
        <v>1974</v>
      </c>
      <c r="Y1" s="3">
        <v>1977</v>
      </c>
      <c r="Z1" s="3">
        <v>1981</v>
      </c>
      <c r="AA1" s="3">
        <v>1985</v>
      </c>
      <c r="AB1" s="3" t="s">
        <v>25</v>
      </c>
      <c r="AC1" s="3" t="s">
        <v>26</v>
      </c>
      <c r="AD1" s="3">
        <v>1990</v>
      </c>
      <c r="AE1" s="3">
        <v>1993</v>
      </c>
      <c r="AF1" s="3">
        <v>1996</v>
      </c>
      <c r="AG1" s="3">
        <v>2000</v>
      </c>
      <c r="AH1" s="3">
        <v>2004</v>
      </c>
      <c r="AI1" s="3">
        <v>2007</v>
      </c>
      <c r="AJ1" s="3">
        <v>2009</v>
      </c>
      <c r="AK1" s="3" t="s">
        <v>27</v>
      </c>
      <c r="AL1" s="3" t="s">
        <v>28</v>
      </c>
      <c r="AM1" s="3" t="s">
        <v>410</v>
      </c>
      <c r="AN1" s="3" t="s">
        <v>411</v>
      </c>
      <c r="AO1" s="3">
        <v>2019</v>
      </c>
      <c r="AP1" s="3" t="s">
        <v>1520</v>
      </c>
      <c r="AQ1" s="3" t="s">
        <v>1521</v>
      </c>
    </row>
    <row r="2" spans="1:43" ht="16" x14ac:dyDescent="0.2">
      <c r="A2" s="1" t="s">
        <v>29</v>
      </c>
      <c r="B2" s="16" t="s">
        <v>770</v>
      </c>
      <c r="C2" s="1">
        <v>54.4</v>
      </c>
      <c r="D2" s="1">
        <v>41.8</v>
      </c>
      <c r="E2" s="1">
        <v>35.9</v>
      </c>
      <c r="F2" s="1">
        <v>40.799999999999997</v>
      </c>
      <c r="G2" s="1">
        <v>44.3</v>
      </c>
      <c r="H2" s="1">
        <v>46.2</v>
      </c>
      <c r="I2" s="1">
        <v>46.9</v>
      </c>
      <c r="J2" s="1">
        <v>39.299999999999997</v>
      </c>
      <c r="K2" s="1">
        <v>38.1</v>
      </c>
      <c r="L2" s="1">
        <v>42.7</v>
      </c>
      <c r="M2" s="1">
        <v>45.4</v>
      </c>
      <c r="N2" s="1">
        <v>41.8</v>
      </c>
      <c r="O2" s="1">
        <v>33.5</v>
      </c>
      <c r="P2" s="1">
        <v>18.899999999999999</v>
      </c>
      <c r="Q2" s="1">
        <v>29.7</v>
      </c>
      <c r="R2" s="1">
        <v>27.8</v>
      </c>
      <c r="S2" s="1">
        <v>28.1</v>
      </c>
      <c r="T2" s="1">
        <v>39.9</v>
      </c>
      <c r="U2" s="1">
        <v>40.799999999999997</v>
      </c>
      <c r="V2" s="1">
        <v>40.6</v>
      </c>
      <c r="W2" s="1"/>
      <c r="X2" s="1">
        <v>54.4</v>
      </c>
      <c r="Y2" s="1">
        <f>(D2*0.15)+D2</f>
        <v>48.069999999999993</v>
      </c>
      <c r="Z2" s="1">
        <f>(E2*0.35)+E2</f>
        <v>48.464999999999996</v>
      </c>
      <c r="AA2" s="1">
        <f>(F2*0.55)+F2</f>
        <v>63.239999999999995</v>
      </c>
      <c r="AB2" s="1">
        <f t="shared" ref="AB2:AC4" si="0">(G2*0.75)+G2</f>
        <v>77.524999999999991</v>
      </c>
      <c r="AC2" s="1">
        <f t="shared" si="0"/>
        <v>80.850000000000009</v>
      </c>
      <c r="AD2" s="1">
        <f>(I2*0.8)+I2</f>
        <v>84.42</v>
      </c>
      <c r="AE2" s="1">
        <f>(J2*0.95)+J2</f>
        <v>76.634999999999991</v>
      </c>
      <c r="AF2" s="1">
        <f>(K2*1.1)+K2</f>
        <v>80.010000000000005</v>
      </c>
      <c r="AG2" s="1">
        <f>(L2*1.3)+L2</f>
        <v>98.210000000000008</v>
      </c>
      <c r="AH2" s="1">
        <f>(M2*1.5)+M2</f>
        <v>113.5</v>
      </c>
      <c r="AI2" s="1">
        <f>(N2*1.65)+N2</f>
        <v>110.76999999999998</v>
      </c>
      <c r="AJ2" s="1">
        <f>(O2*1.75)+O2</f>
        <v>92.125</v>
      </c>
      <c r="AK2" s="1">
        <f t="shared" ref="AK2:AL4" si="1">(P2*1.9)+P2</f>
        <v>54.809999999999995</v>
      </c>
      <c r="AL2" s="1">
        <f t="shared" si="1"/>
        <v>86.13</v>
      </c>
      <c r="AM2" s="1">
        <f t="shared" ref="AM2:AN4" si="2">(R2*2.05)+R2</f>
        <v>84.789999999999992</v>
      </c>
      <c r="AN2" s="1">
        <f t="shared" si="2"/>
        <v>85.704999999999998</v>
      </c>
      <c r="AO2" s="1">
        <f>(T2*2.25)+T2</f>
        <v>129.67499999999998</v>
      </c>
      <c r="AP2" s="1">
        <f>(U2*2.45)+U2</f>
        <v>140.76</v>
      </c>
      <c r="AQ2" s="1">
        <f>(V2*2.45)+V2</f>
        <v>140.07000000000002</v>
      </c>
    </row>
    <row r="3" spans="1:43" ht="16" x14ac:dyDescent="0.2">
      <c r="A3" s="1" t="s">
        <v>30</v>
      </c>
      <c r="B3" s="16" t="s">
        <v>1086</v>
      </c>
      <c r="C3" s="1">
        <v>13.6</v>
      </c>
      <c r="D3" s="1">
        <v>25.3</v>
      </c>
      <c r="E3" s="1">
        <v>48.1</v>
      </c>
      <c r="F3" s="1">
        <v>45.8</v>
      </c>
      <c r="G3" s="1">
        <v>39.1</v>
      </c>
      <c r="H3" s="1">
        <v>40.700000000000003</v>
      </c>
      <c r="I3" s="1">
        <v>38.6</v>
      </c>
      <c r="J3" s="1">
        <v>46.9</v>
      </c>
      <c r="K3" s="1">
        <v>41.5</v>
      </c>
      <c r="L3" s="1">
        <v>43.8</v>
      </c>
      <c r="M3" s="1">
        <v>40.5</v>
      </c>
      <c r="N3" s="1">
        <v>38.1</v>
      </c>
      <c r="O3" s="1">
        <v>43.9</v>
      </c>
      <c r="P3" s="1">
        <v>13.2</v>
      </c>
      <c r="Q3" s="1">
        <v>12.3</v>
      </c>
      <c r="R3" s="1">
        <v>4.7</v>
      </c>
      <c r="S3" s="1">
        <v>6.3</v>
      </c>
      <c r="T3" s="1">
        <v>8.1</v>
      </c>
      <c r="U3" s="1">
        <v>11.5</v>
      </c>
      <c r="V3" s="1">
        <v>11.8</v>
      </c>
      <c r="W3" s="1"/>
      <c r="X3" s="1">
        <v>13.6</v>
      </c>
      <c r="Y3" s="1">
        <f>(D3*0.15)+D3</f>
        <v>29.094999999999999</v>
      </c>
      <c r="Z3" s="1">
        <f>(E3*0.35)+E3</f>
        <v>64.935000000000002</v>
      </c>
      <c r="AA3" s="1">
        <f>(F3*0.55)+F3</f>
        <v>70.989999999999995</v>
      </c>
      <c r="AB3" s="1">
        <f t="shared" si="0"/>
        <v>68.425000000000011</v>
      </c>
      <c r="AC3" s="1">
        <f t="shared" si="0"/>
        <v>71.225000000000009</v>
      </c>
      <c r="AD3" s="1">
        <f>(I3*0.8)+I3</f>
        <v>69.48</v>
      </c>
      <c r="AE3" s="1">
        <f>(J3*0.95)+J3</f>
        <v>91.454999999999998</v>
      </c>
      <c r="AF3" s="1">
        <f>(K3*1.1)+K3</f>
        <v>87.15</v>
      </c>
      <c r="AG3" s="1">
        <f>(L3*1.3)+L3</f>
        <v>100.74</v>
      </c>
      <c r="AH3" s="1">
        <f>(M3*1.5)+M3</f>
        <v>101.25</v>
      </c>
      <c r="AI3" s="1">
        <f>(N3*1.65)+N3</f>
        <v>100.965</v>
      </c>
      <c r="AJ3" s="1">
        <f>(O3*1.75)+O3</f>
        <v>120.72499999999999</v>
      </c>
      <c r="AK3" s="1">
        <f t="shared" si="1"/>
        <v>38.28</v>
      </c>
      <c r="AL3" s="1">
        <f t="shared" si="1"/>
        <v>35.67</v>
      </c>
      <c r="AM3" s="1">
        <f t="shared" si="2"/>
        <v>14.335000000000001</v>
      </c>
      <c r="AN3" s="1">
        <f t="shared" si="2"/>
        <v>19.215</v>
      </c>
      <c r="AO3" s="1">
        <f>(T3*2.25)+T3</f>
        <v>26.324999999999996</v>
      </c>
      <c r="AP3" s="1">
        <f t="shared" ref="AP3:AP4" si="3">(U3*2.45)+U3</f>
        <v>39.674999999999997</v>
      </c>
      <c r="AQ3" s="1">
        <f t="shared" ref="AQ3:AQ4" si="4">(V3*2.45)+V3</f>
        <v>40.710000000000008</v>
      </c>
    </row>
    <row r="4" spans="1:43" x14ac:dyDescent="0.2">
      <c r="A4" s="1" t="s">
        <v>37</v>
      </c>
      <c r="B4" s="1" t="s">
        <v>1087</v>
      </c>
      <c r="C4" s="1">
        <v>9.5</v>
      </c>
      <c r="D4" s="1">
        <v>9.4</v>
      </c>
      <c r="E4" s="1">
        <v>10.9</v>
      </c>
      <c r="F4" s="1">
        <v>9.1</v>
      </c>
      <c r="G4" s="1">
        <v>13.1</v>
      </c>
      <c r="H4" s="1">
        <v>11</v>
      </c>
      <c r="I4" s="1">
        <v>10.3</v>
      </c>
      <c r="J4" s="1">
        <v>4.5</v>
      </c>
      <c r="K4" s="1">
        <v>5.6</v>
      </c>
      <c r="L4" s="1">
        <v>5.5</v>
      </c>
      <c r="M4" s="1">
        <v>5.9</v>
      </c>
      <c r="N4" s="1">
        <v>8.1999999999999993</v>
      </c>
      <c r="O4" s="1">
        <v>7.5</v>
      </c>
      <c r="P4" s="1">
        <v>8.5</v>
      </c>
      <c r="Q4" s="1">
        <v>4.5</v>
      </c>
      <c r="R4" s="1">
        <v>5.5</v>
      </c>
      <c r="S4" s="1">
        <v>5.6</v>
      </c>
      <c r="T4" s="1">
        <v>5.3</v>
      </c>
      <c r="U4" s="1">
        <v>7.2</v>
      </c>
      <c r="V4" s="1">
        <v>7.7</v>
      </c>
      <c r="W4" s="1"/>
      <c r="X4" s="1">
        <v>9.5</v>
      </c>
      <c r="Y4" s="1">
        <f>(D4*0.15)+D4</f>
        <v>10.81</v>
      </c>
      <c r="Z4" s="1">
        <f>(E4*0.35)+E4</f>
        <v>14.715</v>
      </c>
      <c r="AA4" s="1">
        <f>(F4*0.55)+F4</f>
        <v>14.105</v>
      </c>
      <c r="AB4" s="1">
        <f t="shared" si="0"/>
        <v>22.924999999999997</v>
      </c>
      <c r="AC4" s="1">
        <f t="shared" si="0"/>
        <v>19.25</v>
      </c>
      <c r="AD4" s="1">
        <f>(I4*0.8)+I4</f>
        <v>18.54</v>
      </c>
      <c r="AE4" s="1">
        <f>(J4*0.95)+J4</f>
        <v>8.7749999999999986</v>
      </c>
      <c r="AF4" s="1">
        <f>(K4*1.1)+K4</f>
        <v>11.76</v>
      </c>
      <c r="AG4" s="1">
        <f>(L4*1.3)+L4</f>
        <v>12.65</v>
      </c>
      <c r="AH4" s="1">
        <f>(M4*1.5)+M4</f>
        <v>14.750000000000002</v>
      </c>
      <c r="AI4" s="1">
        <f>(N4*1.65)+N4</f>
        <v>21.729999999999997</v>
      </c>
      <c r="AJ4" s="1">
        <f>(O4*1.75)+O4</f>
        <v>20.625</v>
      </c>
      <c r="AK4" s="1">
        <f t="shared" si="1"/>
        <v>24.65</v>
      </c>
      <c r="AL4" s="1">
        <f t="shared" si="1"/>
        <v>13.049999999999999</v>
      </c>
      <c r="AM4" s="1">
        <f t="shared" si="2"/>
        <v>16.774999999999999</v>
      </c>
      <c r="AN4" s="1">
        <f t="shared" si="2"/>
        <v>17.079999999999998</v>
      </c>
      <c r="AO4" s="1">
        <f>(T4*2.25)+T4</f>
        <v>17.224999999999998</v>
      </c>
      <c r="AP4" s="1">
        <f t="shared" si="3"/>
        <v>24.84</v>
      </c>
      <c r="AQ4" s="1">
        <f t="shared" si="4"/>
        <v>26.565000000000001</v>
      </c>
    </row>
    <row r="5" spans="1:43" x14ac:dyDescent="0.2">
      <c r="A5" s="1" t="s">
        <v>1085</v>
      </c>
      <c r="B5" s="1" t="s">
        <v>1088</v>
      </c>
      <c r="C5" s="1">
        <v>20.399999999999999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W5" s="1"/>
      <c r="X5" s="1">
        <v>20.399999999999999</v>
      </c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3" x14ac:dyDescent="0.2">
      <c r="A6" s="1" t="s">
        <v>1084</v>
      </c>
      <c r="B6" s="1" t="s">
        <v>779</v>
      </c>
      <c r="C6" s="1"/>
      <c r="D6" s="1">
        <v>12</v>
      </c>
      <c r="E6" s="1">
        <v>0.4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W6" s="1"/>
      <c r="X6" s="1"/>
      <c r="Y6" s="1">
        <v>12</v>
      </c>
      <c r="Z6" s="1">
        <f>(E6*0.2)+E6</f>
        <v>0.48000000000000004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3" ht="16" x14ac:dyDescent="0.2">
      <c r="A7" s="15" t="s">
        <v>524</v>
      </c>
      <c r="B7" s="1" t="s">
        <v>1089</v>
      </c>
      <c r="C7" s="1"/>
      <c r="D7" s="1"/>
      <c r="E7" s="1"/>
      <c r="F7" s="1"/>
      <c r="G7" s="1"/>
      <c r="H7" s="1"/>
      <c r="I7" s="1"/>
      <c r="J7" s="1"/>
      <c r="K7" s="1">
        <v>4.4000000000000004</v>
      </c>
      <c r="L7" s="1">
        <v>2.7</v>
      </c>
      <c r="M7" s="1">
        <v>1.8</v>
      </c>
      <c r="N7" s="1"/>
      <c r="O7" s="1"/>
      <c r="P7" s="1"/>
      <c r="Q7" s="1"/>
      <c r="R7" s="1"/>
      <c r="S7" s="1"/>
      <c r="W7" s="15"/>
      <c r="X7" s="1"/>
      <c r="Y7" s="1"/>
      <c r="Z7" s="1"/>
      <c r="AA7" s="1"/>
      <c r="AB7" s="1"/>
      <c r="AC7" s="1"/>
      <c r="AD7" s="1"/>
      <c r="AE7" s="1"/>
      <c r="AF7" s="1">
        <v>4.4000000000000004</v>
      </c>
      <c r="AG7" s="1">
        <f>(L7*0.2)+L7</f>
        <v>3.24</v>
      </c>
      <c r="AH7" s="1">
        <f>(M7*0.4)+M7</f>
        <v>2.52</v>
      </c>
      <c r="AI7" s="1"/>
      <c r="AJ7" s="1"/>
      <c r="AK7" s="1"/>
      <c r="AL7" s="1"/>
      <c r="AM7" s="1"/>
      <c r="AN7" s="1"/>
    </row>
    <row r="8" spans="1:43" ht="16" x14ac:dyDescent="0.2">
      <c r="A8" s="15" t="s">
        <v>6</v>
      </c>
      <c r="B8" s="1" t="s">
        <v>1090</v>
      </c>
      <c r="C8" s="1"/>
      <c r="D8" s="1"/>
      <c r="E8" s="1"/>
      <c r="F8" s="1"/>
      <c r="G8" s="1"/>
      <c r="H8" s="1"/>
      <c r="I8" s="1"/>
      <c r="J8" s="1">
        <v>4.9000000000000004</v>
      </c>
      <c r="K8" s="1">
        <v>2.9</v>
      </c>
      <c r="L8" s="1"/>
      <c r="M8" s="1"/>
      <c r="N8" s="1"/>
      <c r="O8" s="1"/>
      <c r="P8" s="1"/>
      <c r="Q8" s="1"/>
      <c r="R8" s="1"/>
      <c r="S8" s="1"/>
      <c r="W8" s="15"/>
      <c r="X8" s="1"/>
      <c r="Y8" s="1"/>
      <c r="Z8" s="1"/>
      <c r="AA8" s="1"/>
      <c r="AB8" s="1"/>
      <c r="AC8" s="1"/>
      <c r="AD8" s="1"/>
      <c r="AE8" s="1">
        <v>4.9000000000000004</v>
      </c>
      <c r="AF8" s="1">
        <f>(K8*0.15)+K8</f>
        <v>3.335</v>
      </c>
      <c r="AG8" s="1"/>
      <c r="AH8" s="1"/>
      <c r="AI8" s="1"/>
      <c r="AJ8" s="1"/>
      <c r="AK8" s="1"/>
      <c r="AL8" s="1"/>
      <c r="AM8" s="1"/>
      <c r="AN8" s="1"/>
    </row>
    <row r="9" spans="1:43" ht="16" x14ac:dyDescent="0.2">
      <c r="A9" s="15" t="s">
        <v>148</v>
      </c>
      <c r="B9" s="1" t="s">
        <v>1091</v>
      </c>
      <c r="C9" s="1"/>
      <c r="D9" s="1">
        <v>6.8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W9" s="15"/>
      <c r="X9" s="1"/>
      <c r="Y9" s="1">
        <v>6.8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3" ht="16" x14ac:dyDescent="0.2">
      <c r="A10" s="15" t="s">
        <v>1418</v>
      </c>
      <c r="B10" s="1" t="s">
        <v>1406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>
        <v>3.7</v>
      </c>
      <c r="U10" s="1">
        <v>4.5</v>
      </c>
      <c r="V10" s="1">
        <v>4.4000000000000004</v>
      </c>
      <c r="W10" s="1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>
        <v>3.7</v>
      </c>
      <c r="AP10" s="1">
        <f>(U10*0.2)+U10</f>
        <v>5.4</v>
      </c>
      <c r="AQ10" s="1">
        <f>(V10*0.2)+V10</f>
        <v>5.28</v>
      </c>
    </row>
    <row r="11" spans="1:43" x14ac:dyDescent="0.2">
      <c r="A11" s="1" t="s">
        <v>1407</v>
      </c>
      <c r="B11" t="s">
        <v>1419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>
        <v>3.4</v>
      </c>
      <c r="U11" s="1">
        <v>2.6</v>
      </c>
      <c r="V11" s="1">
        <v>2.5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>
        <v>3.4</v>
      </c>
      <c r="AP11" s="1">
        <f>(U11*0.2)+U11</f>
        <v>3.12</v>
      </c>
      <c r="AQ11" s="1">
        <f>(V11*0.2)+V11</f>
        <v>3</v>
      </c>
    </row>
    <row r="12" spans="1:43" ht="16" x14ac:dyDescent="0.2">
      <c r="A12" s="15" t="s">
        <v>127</v>
      </c>
      <c r="B12" s="1" t="s">
        <v>1092</v>
      </c>
      <c r="C12" s="1"/>
      <c r="D12" s="1"/>
      <c r="E12" s="1"/>
      <c r="F12" s="1"/>
      <c r="G12" s="1"/>
      <c r="H12" s="1"/>
      <c r="I12" s="1"/>
      <c r="J12" s="1">
        <v>0.2</v>
      </c>
      <c r="K12" s="1">
        <v>0.7</v>
      </c>
      <c r="L12" s="1">
        <v>0.3</v>
      </c>
      <c r="M12" s="1">
        <v>0.3</v>
      </c>
      <c r="N12" s="1">
        <v>0.3</v>
      </c>
      <c r="O12" s="1">
        <v>0.3</v>
      </c>
      <c r="P12" s="1">
        <v>0.6</v>
      </c>
      <c r="Q12" s="1">
        <v>0.3</v>
      </c>
      <c r="R12" s="1">
        <v>1.8</v>
      </c>
      <c r="S12" s="1">
        <v>3.4</v>
      </c>
      <c r="T12" s="1">
        <v>1.2</v>
      </c>
      <c r="U12" s="1">
        <v>0.4</v>
      </c>
      <c r="V12" s="1">
        <v>0.3</v>
      </c>
      <c r="W12" s="15"/>
      <c r="X12" s="1"/>
      <c r="Y12" s="1"/>
      <c r="Z12" s="1"/>
      <c r="AA12" s="1"/>
      <c r="AB12" s="1"/>
      <c r="AC12" s="1"/>
      <c r="AD12" s="1"/>
      <c r="AE12" s="1">
        <v>0.2</v>
      </c>
      <c r="AF12" s="1">
        <f>(K12*0.15)+K12</f>
        <v>0.80499999999999994</v>
      </c>
      <c r="AG12" s="1">
        <f>(L12*0.35)+L12</f>
        <v>0.40499999999999997</v>
      </c>
      <c r="AH12" s="1">
        <f>(M12*0.55)+M12</f>
        <v>0.46499999999999997</v>
      </c>
      <c r="AI12" s="1">
        <f>(N12*0.7)+N12</f>
        <v>0.51</v>
      </c>
      <c r="AJ12" s="1">
        <f>(O12*0.8)+O12</f>
        <v>0.54</v>
      </c>
      <c r="AK12" s="1">
        <f>(P12*0.95)+P12</f>
        <v>1.17</v>
      </c>
      <c r="AL12" s="1">
        <f>(Q12*0.95)+Q12</f>
        <v>0.58499999999999996</v>
      </c>
      <c r="AM12" s="1">
        <f>(R12*1.1)+R12</f>
        <v>3.7800000000000002</v>
      </c>
      <c r="AN12" s="1">
        <f>(S12*1.1)+S12</f>
        <v>7.1400000000000006</v>
      </c>
      <c r="AO12" s="1">
        <f>(T12*1.3)+T12</f>
        <v>2.76</v>
      </c>
      <c r="AP12" s="1">
        <f>(U12*1.5)+U12</f>
        <v>1</v>
      </c>
      <c r="AQ12" s="1">
        <f>(V12*1.5)+V12</f>
        <v>0.75</v>
      </c>
    </row>
    <row r="13" spans="1:43" x14ac:dyDescent="0.2">
      <c r="A13" s="1" t="s">
        <v>31</v>
      </c>
      <c r="B13" s="1" t="s">
        <v>1093</v>
      </c>
      <c r="C13" s="1"/>
      <c r="D13" s="1"/>
      <c r="E13" s="1"/>
      <c r="F13" s="1"/>
      <c r="J13" s="1">
        <v>2.9</v>
      </c>
      <c r="K13" s="1">
        <v>5.0999999999999996</v>
      </c>
      <c r="L13" s="1">
        <v>3.2</v>
      </c>
      <c r="N13" s="1"/>
      <c r="O13" s="1"/>
      <c r="P13" s="1"/>
      <c r="Q13" s="1"/>
      <c r="R13" s="1"/>
      <c r="S13" s="1"/>
      <c r="W13" s="1"/>
      <c r="X13" s="1"/>
      <c r="Y13" s="1"/>
      <c r="Z13" s="1"/>
      <c r="AA13" s="1"/>
      <c r="AB13" s="1"/>
      <c r="AC13" s="1"/>
      <c r="AD13" s="1"/>
      <c r="AE13" s="1">
        <v>2.9</v>
      </c>
      <c r="AF13" s="1">
        <f>(K13*0.15)+K13</f>
        <v>5.8649999999999993</v>
      </c>
      <c r="AG13" s="1">
        <f>(L13*0.35)+L13</f>
        <v>4.32</v>
      </c>
      <c r="AH13" s="1"/>
      <c r="AI13" s="1"/>
      <c r="AJ13" s="1"/>
      <c r="AK13" s="1"/>
      <c r="AL13" s="1"/>
      <c r="AM13" s="1"/>
      <c r="AN13" s="1"/>
    </row>
    <row r="14" spans="1:43" x14ac:dyDescent="0.2">
      <c r="A14" s="1" t="s">
        <v>32</v>
      </c>
      <c r="B14" s="1" t="s">
        <v>1094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3.3</v>
      </c>
      <c r="N14" s="1">
        <v>5</v>
      </c>
      <c r="O14" s="1">
        <v>4.5999999999999996</v>
      </c>
      <c r="P14" s="1">
        <v>16.8</v>
      </c>
      <c r="Q14" s="1">
        <v>26.9</v>
      </c>
      <c r="R14" s="1">
        <v>36.299999999999997</v>
      </c>
      <c r="S14" s="1">
        <v>35.5</v>
      </c>
      <c r="T14" s="1">
        <v>31.5</v>
      </c>
      <c r="U14" s="1">
        <v>20.100000000000001</v>
      </c>
      <c r="V14" s="1">
        <v>17.8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>
        <v>3.3</v>
      </c>
      <c r="AI14" s="1">
        <f>(N14*0.15)+N14</f>
        <v>5.75</v>
      </c>
      <c r="AJ14" s="1">
        <f>(O14*0.25)+O14</f>
        <v>5.75</v>
      </c>
      <c r="AK14" s="1">
        <f>(P14*0.4)+P14</f>
        <v>23.520000000000003</v>
      </c>
      <c r="AL14" s="1">
        <f>(Q14*0.4)+Q14</f>
        <v>37.659999999999997</v>
      </c>
      <c r="AM14" s="1">
        <f>(R14*0.55)+R14</f>
        <v>56.265000000000001</v>
      </c>
      <c r="AN14" s="1">
        <f>(S14*0.55)+S14</f>
        <v>55.025000000000006</v>
      </c>
      <c r="AO14" s="1">
        <f>(T14*0.75)+T14</f>
        <v>55.125</v>
      </c>
      <c r="AP14" s="1">
        <f>(U14*0.95)+U14</f>
        <v>39.195</v>
      </c>
      <c r="AQ14" s="1">
        <f>(V14*0.95)+V14</f>
        <v>34.71</v>
      </c>
    </row>
    <row r="15" spans="1:43" x14ac:dyDescent="0.2">
      <c r="A15" s="1" t="s">
        <v>34</v>
      </c>
      <c r="B15" s="1" t="s">
        <v>1095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>
        <v>10.6</v>
      </c>
      <c r="Q15" s="1">
        <v>7.5</v>
      </c>
      <c r="R15" s="1">
        <v>4.8</v>
      </c>
      <c r="S15" s="1">
        <v>3.7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>
        <v>10.6</v>
      </c>
      <c r="AL15" s="1">
        <v>7.5</v>
      </c>
      <c r="AM15" s="1">
        <f>(R15*0.15)+R15</f>
        <v>5.52</v>
      </c>
      <c r="AN15" s="1">
        <f>(S15*0.15)+S15</f>
        <v>4.2549999999999999</v>
      </c>
      <c r="AO15" s="1"/>
    </row>
    <row r="16" spans="1:43" ht="16" x14ac:dyDescent="0.2">
      <c r="A16" s="1" t="s">
        <v>35</v>
      </c>
      <c r="B16" s="16" t="s">
        <v>1096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v>7</v>
      </c>
      <c r="Q16" s="1">
        <v>6.9</v>
      </c>
      <c r="R16" s="1">
        <v>6.3</v>
      </c>
      <c r="S16" s="1">
        <v>7</v>
      </c>
      <c r="T16" s="1">
        <v>2.9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>
        <v>7</v>
      </c>
      <c r="AL16" s="1">
        <v>6.9</v>
      </c>
      <c r="AM16" s="1">
        <f>(R16*0.15)+R16</f>
        <v>7.2450000000000001</v>
      </c>
      <c r="AN16" s="1">
        <f>(S16*0.15)+S16</f>
        <v>8.0500000000000007</v>
      </c>
      <c r="AO16" s="1">
        <f>(T16*0.35)+T16</f>
        <v>3.915</v>
      </c>
      <c r="AP16" s="1"/>
    </row>
    <row r="17" spans="1:43" ht="16" x14ac:dyDescent="0.2">
      <c r="A17" s="1" t="s">
        <v>36</v>
      </c>
      <c r="B17" s="16" t="s">
        <v>1097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v>6.1</v>
      </c>
      <c r="Q17" s="1">
        <v>6.3</v>
      </c>
      <c r="R17" s="1">
        <v>0.5</v>
      </c>
      <c r="S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>
        <v>6.1</v>
      </c>
      <c r="AL17" s="1">
        <v>6.3</v>
      </c>
      <c r="AM17" s="1">
        <f>(R17*0.15)+R17</f>
        <v>0.57499999999999996</v>
      </c>
      <c r="AN17" s="1"/>
    </row>
    <row r="18" spans="1:43" x14ac:dyDescent="0.2">
      <c r="A18" s="1" t="s">
        <v>1083</v>
      </c>
      <c r="B18" s="1" t="s">
        <v>1098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>
        <v>6.1</v>
      </c>
      <c r="S18" s="1">
        <v>4.0999999999999996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>
        <v>6.1</v>
      </c>
      <c r="AN18" s="1">
        <v>4.0999999999999996</v>
      </c>
      <c r="AO18" s="1"/>
    </row>
    <row r="19" spans="1:43" x14ac:dyDescent="0.2">
      <c r="A19" s="1" t="s">
        <v>333</v>
      </c>
      <c r="B19" s="1" t="s">
        <v>1524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V19" s="1">
        <v>4.7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Q19" s="1">
        <v>4.7</v>
      </c>
    </row>
    <row r="20" spans="1:43" x14ac:dyDescent="0.2">
      <c r="A20" s="1" t="s">
        <v>1523</v>
      </c>
      <c r="B20" s="1" t="s">
        <v>1522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1">
        <v>2.9</v>
      </c>
      <c r="V20" s="1">
        <v>3.7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P20" s="1">
        <v>2.9</v>
      </c>
      <c r="AQ20" s="1">
        <v>3.7</v>
      </c>
    </row>
    <row r="21" spans="1:43" x14ac:dyDescent="0.2">
      <c r="A21" s="1" t="s">
        <v>1526</v>
      </c>
      <c r="B21" s="1" t="s">
        <v>1525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v>1.5</v>
      </c>
      <c r="U21" s="1">
        <v>2.9</v>
      </c>
      <c r="V21" s="1">
        <v>3.2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>
        <v>1.5</v>
      </c>
      <c r="AP21" s="1">
        <f>(U21*0.2)+U21</f>
        <v>3.48</v>
      </c>
      <c r="AQ21" s="1">
        <f>(V21*0.2)+V21</f>
        <v>3.8400000000000003</v>
      </c>
    </row>
    <row r="22" spans="1:43" ht="16" x14ac:dyDescent="0.2">
      <c r="A22" s="1" t="s">
        <v>33</v>
      </c>
      <c r="B22" s="16" t="s">
        <v>1099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>
        <v>2.2000000000000002</v>
      </c>
      <c r="N22" s="1">
        <v>3.8</v>
      </c>
      <c r="O22" s="1">
        <v>5.6</v>
      </c>
      <c r="P22" s="1">
        <v>2.9</v>
      </c>
      <c r="Q22" s="1">
        <v>1.6</v>
      </c>
      <c r="R22" s="1">
        <v>1</v>
      </c>
      <c r="S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>
        <v>2.2000000000000002</v>
      </c>
      <c r="AI22" s="1">
        <f>(N22*0.15)+N22</f>
        <v>4.37</v>
      </c>
      <c r="AJ22" s="1">
        <f>(O22*0.25)+O22</f>
        <v>7</v>
      </c>
      <c r="AK22" s="1">
        <f>(P22*0.4)+P22</f>
        <v>4.0599999999999996</v>
      </c>
      <c r="AL22" s="1">
        <f>(Q22*0.4)+Q22</f>
        <v>2.2400000000000002</v>
      </c>
      <c r="AM22" s="1">
        <f>(R22*0.55)+R22</f>
        <v>1.55</v>
      </c>
      <c r="AN22" s="1"/>
    </row>
    <row r="23" spans="1:43" x14ac:dyDescent="0.2">
      <c r="W23" s="3" t="s">
        <v>14</v>
      </c>
      <c r="X23" s="1">
        <f t="shared" ref="X23:AQ23" si="5">SUM(X2:X22)</f>
        <v>97.9</v>
      </c>
      <c r="Y23" s="1">
        <f t="shared" si="5"/>
        <v>106.77499999999999</v>
      </c>
      <c r="Z23" s="1">
        <f t="shared" si="5"/>
        <v>128.595</v>
      </c>
      <c r="AA23" s="1">
        <f t="shared" si="5"/>
        <v>148.33499999999998</v>
      </c>
      <c r="AB23" s="1">
        <f t="shared" si="5"/>
        <v>168.875</v>
      </c>
      <c r="AC23" s="1">
        <f t="shared" si="5"/>
        <v>171.32500000000002</v>
      </c>
      <c r="AD23" s="1">
        <f t="shared" si="5"/>
        <v>172.44</v>
      </c>
      <c r="AE23" s="1">
        <f t="shared" si="5"/>
        <v>184.86499999999998</v>
      </c>
      <c r="AF23" s="1">
        <f t="shared" si="5"/>
        <v>193.32500000000005</v>
      </c>
      <c r="AG23" s="1">
        <f t="shared" si="5"/>
        <v>219.565</v>
      </c>
      <c r="AH23" s="1">
        <f t="shared" si="5"/>
        <v>237.98500000000001</v>
      </c>
      <c r="AI23" s="1">
        <f t="shared" si="5"/>
        <v>244.09499999999997</v>
      </c>
      <c r="AJ23" s="1">
        <f t="shared" si="5"/>
        <v>246.76499999999999</v>
      </c>
      <c r="AK23" s="1">
        <f t="shared" si="5"/>
        <v>170.19</v>
      </c>
      <c r="AL23" s="1">
        <f t="shared" si="5"/>
        <v>196.03500000000003</v>
      </c>
      <c r="AM23" s="1">
        <f t="shared" si="5"/>
        <v>196.935</v>
      </c>
      <c r="AN23" s="1">
        <f t="shared" si="5"/>
        <v>200.57</v>
      </c>
      <c r="AO23" s="1">
        <f t="shared" si="5"/>
        <v>243.62499999999994</v>
      </c>
      <c r="AP23" s="1">
        <f t="shared" si="5"/>
        <v>260.37</v>
      </c>
      <c r="AQ23" s="1">
        <f t="shared" si="5"/>
        <v>263.32499999999999</v>
      </c>
    </row>
    <row r="24" spans="1:43" x14ac:dyDescent="0.2">
      <c r="A24" s="7" t="s">
        <v>38</v>
      </c>
      <c r="B24" s="7"/>
      <c r="AO24" s="1"/>
    </row>
    <row r="25" spans="1:43" x14ac:dyDescent="0.2">
      <c r="X25" s="1">
        <v>100</v>
      </c>
      <c r="Y25" s="1">
        <v>115</v>
      </c>
      <c r="Z25" s="1">
        <v>135</v>
      </c>
      <c r="AA25" s="1">
        <v>155</v>
      </c>
      <c r="AB25" s="1">
        <v>175</v>
      </c>
      <c r="AC25" s="1">
        <v>175</v>
      </c>
      <c r="AD25" s="1">
        <v>180</v>
      </c>
      <c r="AE25" s="1">
        <v>195</v>
      </c>
      <c r="AF25" s="1">
        <v>210</v>
      </c>
      <c r="AG25" s="1">
        <v>230</v>
      </c>
      <c r="AH25" s="1">
        <v>250</v>
      </c>
      <c r="AI25" s="1">
        <v>265</v>
      </c>
      <c r="AJ25" s="1">
        <v>275</v>
      </c>
      <c r="AK25" s="1">
        <v>290</v>
      </c>
      <c r="AL25" s="1">
        <v>290</v>
      </c>
      <c r="AM25" s="1">
        <v>305</v>
      </c>
      <c r="AN25" s="1">
        <v>305</v>
      </c>
      <c r="AO25" s="1">
        <v>325</v>
      </c>
      <c r="AP25" s="1">
        <v>345</v>
      </c>
      <c r="AQ25" s="1">
        <v>345</v>
      </c>
    </row>
    <row r="27" spans="1:43" x14ac:dyDescent="0.2">
      <c r="X27" s="1">
        <f>X23</f>
        <v>97.9</v>
      </c>
      <c r="Y27" s="1">
        <f>SUM(X27+Y23)</f>
        <v>204.67500000000001</v>
      </c>
      <c r="Z27" s="1">
        <f>SUM(Y27+Z23)</f>
        <v>333.27</v>
      </c>
      <c r="AA27" s="1">
        <f>SUM(Z27+AA23)</f>
        <v>481.60499999999996</v>
      </c>
      <c r="AB27" s="1">
        <f t="shared" ref="AB27:AO27" si="6">SUM(AA27+AB23)</f>
        <v>650.48</v>
      </c>
      <c r="AC27" s="1">
        <f t="shared" si="6"/>
        <v>821.80500000000006</v>
      </c>
      <c r="AD27" s="1">
        <f t="shared" si="6"/>
        <v>994.24500000000012</v>
      </c>
      <c r="AE27" s="1">
        <f t="shared" si="6"/>
        <v>1179.1100000000001</v>
      </c>
      <c r="AF27" s="1">
        <f t="shared" si="6"/>
        <v>1372.4350000000002</v>
      </c>
      <c r="AG27" s="1">
        <f t="shared" si="6"/>
        <v>1592.0000000000002</v>
      </c>
      <c r="AH27" s="1">
        <f t="shared" si="6"/>
        <v>1829.9850000000001</v>
      </c>
      <c r="AI27" s="1">
        <f t="shared" si="6"/>
        <v>2074.08</v>
      </c>
      <c r="AJ27" s="1">
        <f t="shared" si="6"/>
        <v>2320.8449999999998</v>
      </c>
      <c r="AK27" s="1">
        <f t="shared" si="6"/>
        <v>2491.0349999999999</v>
      </c>
      <c r="AL27" s="1">
        <f t="shared" si="6"/>
        <v>2687.0699999999997</v>
      </c>
      <c r="AM27" s="1">
        <f t="shared" si="6"/>
        <v>2884.0049999999997</v>
      </c>
      <c r="AN27" s="1">
        <f t="shared" si="6"/>
        <v>3084.5749999999998</v>
      </c>
      <c r="AO27" s="1">
        <f t="shared" si="6"/>
        <v>3328.2</v>
      </c>
      <c r="AP27" s="1">
        <f t="shared" ref="AP27" si="7">SUM(AO27+AP23)</f>
        <v>3588.5699999999997</v>
      </c>
      <c r="AQ27" s="1">
        <f t="shared" ref="AQ27" si="8">SUM(AP27+AQ23)</f>
        <v>3851.8949999999995</v>
      </c>
    </row>
    <row r="28" spans="1:43" ht="16" x14ac:dyDescent="0.2">
      <c r="A28" s="15"/>
      <c r="B28" s="15"/>
      <c r="C28" s="16"/>
      <c r="D28" s="16"/>
      <c r="X28" s="3"/>
      <c r="Y28" s="3"/>
      <c r="Z28" s="3"/>
      <c r="AA28" s="3"/>
      <c r="AB28" s="1"/>
      <c r="AC28" s="3"/>
      <c r="AD28" s="3"/>
      <c r="AE28" s="3"/>
      <c r="AF28" s="3"/>
      <c r="AG28" s="3"/>
      <c r="AH28" s="3"/>
      <c r="AI28" s="5"/>
      <c r="AJ28" s="5"/>
      <c r="AK28" s="3"/>
      <c r="AL28" s="3"/>
      <c r="AM28" s="3"/>
      <c r="AN28" s="3"/>
    </row>
    <row r="29" spans="1:43" ht="16" x14ac:dyDescent="0.2">
      <c r="A29" s="15"/>
      <c r="B29" s="15"/>
      <c r="C29" s="16"/>
      <c r="D29" s="16"/>
      <c r="X29" s="1">
        <v>100</v>
      </c>
      <c r="Y29" s="1">
        <f>SUM(X29+Y25)</f>
        <v>215</v>
      </c>
      <c r="Z29" s="1">
        <f>SUM(Y29+Z25)</f>
        <v>350</v>
      </c>
      <c r="AA29" s="1">
        <f>SUM(Z29+AA25)</f>
        <v>505</v>
      </c>
      <c r="AB29" s="1">
        <f t="shared" ref="AB29:AO29" si="9">SUM(AA29+AB25)</f>
        <v>680</v>
      </c>
      <c r="AC29" s="1">
        <f t="shared" si="9"/>
        <v>855</v>
      </c>
      <c r="AD29" s="1">
        <f t="shared" si="9"/>
        <v>1035</v>
      </c>
      <c r="AE29" s="1">
        <f t="shared" si="9"/>
        <v>1230</v>
      </c>
      <c r="AF29" s="1">
        <f t="shared" si="9"/>
        <v>1440</v>
      </c>
      <c r="AG29" s="1">
        <f t="shared" si="9"/>
        <v>1670</v>
      </c>
      <c r="AH29" s="1">
        <f t="shared" si="9"/>
        <v>1920</v>
      </c>
      <c r="AI29" s="1">
        <f t="shared" si="9"/>
        <v>2185</v>
      </c>
      <c r="AJ29" s="1">
        <f t="shared" si="9"/>
        <v>2460</v>
      </c>
      <c r="AK29" s="1">
        <f t="shared" si="9"/>
        <v>2750</v>
      </c>
      <c r="AL29" s="1">
        <f t="shared" si="9"/>
        <v>3040</v>
      </c>
      <c r="AM29" s="1">
        <f t="shared" si="9"/>
        <v>3345</v>
      </c>
      <c r="AN29" s="1">
        <f t="shared" si="9"/>
        <v>3650</v>
      </c>
      <c r="AO29" s="1">
        <f t="shared" si="9"/>
        <v>3975</v>
      </c>
      <c r="AP29" s="1">
        <f t="shared" ref="AP29" si="10">SUM(AO29+AP25)</f>
        <v>4320</v>
      </c>
      <c r="AQ29" s="1">
        <f t="shared" ref="AQ29" si="11">SUM(AP29+AQ25)</f>
        <v>4665</v>
      </c>
    </row>
    <row r="30" spans="1:43" ht="16" x14ac:dyDescent="0.2">
      <c r="A30" s="15"/>
      <c r="B30" s="15"/>
      <c r="C30" s="16"/>
      <c r="D30" s="16"/>
    </row>
    <row r="31" spans="1:43" ht="16" x14ac:dyDescent="0.2">
      <c r="A31" s="15"/>
      <c r="B31" s="15"/>
      <c r="C31" s="16"/>
      <c r="D31" s="16"/>
      <c r="X31" s="4" t="s">
        <v>1563</v>
      </c>
      <c r="Y31" s="4" t="s">
        <v>1563</v>
      </c>
      <c r="Z31" s="4" t="s">
        <v>1563</v>
      </c>
      <c r="AA31" s="4" t="s">
        <v>1563</v>
      </c>
      <c r="AB31" s="4" t="s">
        <v>1563</v>
      </c>
      <c r="AC31" s="4" t="s">
        <v>1563</v>
      </c>
      <c r="AD31" s="4" t="s">
        <v>1563</v>
      </c>
      <c r="AE31" s="4" t="s">
        <v>1563</v>
      </c>
      <c r="AF31" s="4" t="s">
        <v>1563</v>
      </c>
      <c r="AG31" s="4" t="s">
        <v>1563</v>
      </c>
      <c r="AH31" s="4" t="s">
        <v>1563</v>
      </c>
      <c r="AI31" s="4" t="s">
        <v>1563</v>
      </c>
      <c r="AJ31" s="4" t="s">
        <v>1563</v>
      </c>
      <c r="AK31" s="4" t="s">
        <v>1563</v>
      </c>
      <c r="AL31" s="4" t="s">
        <v>1563</v>
      </c>
      <c r="AM31" s="4" t="s">
        <v>1563</v>
      </c>
      <c r="AN31" s="4" t="s">
        <v>1563</v>
      </c>
      <c r="AO31" s="4" t="s">
        <v>1563</v>
      </c>
      <c r="AP31" s="4" t="s">
        <v>1563</v>
      </c>
      <c r="AQ31" s="4" t="s">
        <v>1563</v>
      </c>
    </row>
    <row r="32" spans="1:43" ht="16" x14ac:dyDescent="0.2">
      <c r="A32" s="15"/>
      <c r="B32" s="15"/>
      <c r="C32" s="16"/>
      <c r="D32" s="16"/>
      <c r="X32" s="6">
        <f>(X27/X29)*100</f>
        <v>97.9</v>
      </c>
      <c r="Y32" s="6">
        <f>(Y27/Y29)*100</f>
        <v>95.197674418604663</v>
      </c>
      <c r="Z32" s="6">
        <f>(Z27/Z29)*100</f>
        <v>95.22</v>
      </c>
      <c r="AA32" s="6">
        <f>(AA27/AA29)*100</f>
        <v>95.367326732673263</v>
      </c>
      <c r="AB32" s="6">
        <f>(AB27/AB29)*100</f>
        <v>95.658823529411762</v>
      </c>
      <c r="AC32" s="6">
        <f t="shared" ref="AC32:AQ32" si="12">(AC27/AC29)*100</f>
        <v>96.117543859649132</v>
      </c>
      <c r="AD32" s="6">
        <f t="shared" si="12"/>
        <v>96.062318840579721</v>
      </c>
      <c r="AE32" s="6">
        <f t="shared" si="12"/>
        <v>95.862601626016271</v>
      </c>
      <c r="AF32" s="6">
        <f t="shared" si="12"/>
        <v>95.30798611111112</v>
      </c>
      <c r="AG32" s="6">
        <f t="shared" si="12"/>
        <v>95.329341317365277</v>
      </c>
      <c r="AH32" s="6">
        <f t="shared" si="12"/>
        <v>95.311718750000011</v>
      </c>
      <c r="AI32" s="6">
        <f t="shared" si="12"/>
        <v>94.923569794050337</v>
      </c>
      <c r="AJ32" s="6">
        <f t="shared" si="12"/>
        <v>94.343292682926815</v>
      </c>
      <c r="AK32" s="6">
        <f t="shared" si="12"/>
        <v>90.583090909090899</v>
      </c>
      <c r="AL32" s="6">
        <f t="shared" si="12"/>
        <v>88.390460526315778</v>
      </c>
      <c r="AM32" s="6">
        <f t="shared" si="12"/>
        <v>86.218385650224207</v>
      </c>
      <c r="AN32" s="6">
        <f t="shared" si="12"/>
        <v>84.508904109589039</v>
      </c>
      <c r="AO32" s="6">
        <f t="shared" si="12"/>
        <v>83.728301886792451</v>
      </c>
      <c r="AP32" s="6">
        <f t="shared" si="12"/>
        <v>83.068749999999994</v>
      </c>
      <c r="AQ32" s="6">
        <f t="shared" si="12"/>
        <v>82.570096463022509</v>
      </c>
    </row>
    <row r="33" spans="1:4" ht="16" x14ac:dyDescent="0.2">
      <c r="A33" s="15"/>
      <c r="B33" s="15"/>
      <c r="C33" s="1"/>
      <c r="D33" s="1"/>
    </row>
    <row r="34" spans="1:4" ht="16" x14ac:dyDescent="0.2">
      <c r="A34" s="15"/>
      <c r="B34" s="15"/>
      <c r="C34" s="1"/>
      <c r="D34" s="1"/>
    </row>
    <row r="35" spans="1:4" ht="16" x14ac:dyDescent="0.2">
      <c r="A35" s="15"/>
      <c r="B35" s="15"/>
      <c r="C35" s="1"/>
      <c r="D35" s="1"/>
    </row>
    <row r="36" spans="1:4" ht="16" x14ac:dyDescent="0.2">
      <c r="A36" s="15"/>
      <c r="B36" s="15"/>
      <c r="C36" s="1"/>
      <c r="D36" s="1"/>
    </row>
    <row r="37" spans="1:4" ht="16" x14ac:dyDescent="0.2">
      <c r="A37" s="15"/>
      <c r="B37" s="15"/>
      <c r="C37" s="1"/>
      <c r="D37" s="1"/>
    </row>
    <row r="38" spans="1:4" ht="16" x14ac:dyDescent="0.2">
      <c r="A38" s="15"/>
      <c r="B38" s="15"/>
      <c r="C38" s="1"/>
      <c r="D38" s="1"/>
    </row>
    <row r="39" spans="1:4" ht="16" x14ac:dyDescent="0.2">
      <c r="A39" s="15"/>
      <c r="B39" s="15"/>
      <c r="C39" s="1"/>
      <c r="D39" s="1"/>
    </row>
    <row r="40" spans="1:4" ht="16" x14ac:dyDescent="0.2">
      <c r="A40" s="15"/>
      <c r="B40" s="15"/>
      <c r="C40" s="1"/>
      <c r="D40" s="1"/>
    </row>
    <row r="41" spans="1:4" ht="16" x14ac:dyDescent="0.2">
      <c r="A41" s="15"/>
      <c r="B41" s="15"/>
      <c r="C41" s="1"/>
      <c r="D41" s="1"/>
    </row>
    <row r="42" spans="1:4" ht="16" x14ac:dyDescent="0.2">
      <c r="A42" s="15"/>
      <c r="B42" s="15"/>
      <c r="C42" s="1"/>
      <c r="D42" s="1"/>
    </row>
    <row r="43" spans="1:4" ht="16" x14ac:dyDescent="0.2">
      <c r="A43" s="15"/>
      <c r="B43" s="15"/>
      <c r="C43" s="1"/>
      <c r="D43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31"/>
  <sheetViews>
    <sheetView topLeftCell="I1" workbookViewId="0">
      <selection activeCell="M27" sqref="M27:U27"/>
    </sheetView>
  </sheetViews>
  <sheetFormatPr baseColWidth="10" defaultRowHeight="15" x14ac:dyDescent="0.2"/>
  <cols>
    <col min="2" max="2" width="31" customWidth="1"/>
  </cols>
  <sheetData>
    <row r="1" spans="1:21" ht="16" x14ac:dyDescent="0.2">
      <c r="A1" s="3" t="s">
        <v>15</v>
      </c>
      <c r="B1" s="24" t="s">
        <v>681</v>
      </c>
      <c r="C1" s="3">
        <v>1990</v>
      </c>
      <c r="D1" s="3">
        <v>1994</v>
      </c>
      <c r="E1" s="3">
        <v>1998</v>
      </c>
      <c r="F1" s="3">
        <v>2002</v>
      </c>
      <c r="G1" s="3">
        <v>2006</v>
      </c>
      <c r="H1" s="3">
        <v>2010</v>
      </c>
      <c r="I1" s="3">
        <v>2014</v>
      </c>
      <c r="J1" s="3">
        <v>2018</v>
      </c>
      <c r="K1" s="3">
        <v>2022</v>
      </c>
      <c r="M1" s="3">
        <v>1990</v>
      </c>
      <c r="N1" s="3">
        <v>1994</v>
      </c>
      <c r="O1" s="3">
        <v>1998</v>
      </c>
      <c r="P1" s="3">
        <v>2002</v>
      </c>
      <c r="Q1" s="3">
        <v>2006</v>
      </c>
      <c r="R1" s="3">
        <v>2010</v>
      </c>
      <c r="S1" s="3">
        <v>2014</v>
      </c>
      <c r="T1" s="3">
        <v>2018</v>
      </c>
      <c r="U1" s="3">
        <v>2022</v>
      </c>
    </row>
    <row r="2" spans="1:21" ht="16" x14ac:dyDescent="0.2">
      <c r="A2" s="1" t="s">
        <v>44</v>
      </c>
      <c r="B2" s="16" t="s">
        <v>1072</v>
      </c>
      <c r="C2" s="1">
        <v>10.9</v>
      </c>
      <c r="D2" s="1">
        <v>33</v>
      </c>
      <c r="E2" s="1">
        <v>32.299999999999997</v>
      </c>
      <c r="F2" s="1">
        <v>42.1</v>
      </c>
      <c r="G2" s="1">
        <v>43.2</v>
      </c>
      <c r="H2" s="1">
        <v>19.3</v>
      </c>
      <c r="I2" s="1">
        <v>25.7</v>
      </c>
      <c r="J2" s="1">
        <v>11.9</v>
      </c>
      <c r="K2" s="1">
        <v>34.4</v>
      </c>
      <c r="M2" s="1">
        <v>10.9</v>
      </c>
      <c r="N2" s="1">
        <f>(D2*0.2)+D2</f>
        <v>39.6</v>
      </c>
      <c r="O2" s="1">
        <f>(E2*0.4)+E2</f>
        <v>45.22</v>
      </c>
      <c r="P2" s="1">
        <f>(F2*0.6)+F2</f>
        <v>67.36</v>
      </c>
      <c r="Q2" s="1">
        <f>(G2*0.8)+G2</f>
        <v>77.760000000000005</v>
      </c>
      <c r="R2" s="1">
        <f>(H2*1)+H2</f>
        <v>38.6</v>
      </c>
      <c r="S2" s="1">
        <f>(I2*1.2)+I2</f>
        <v>56.539999999999992</v>
      </c>
      <c r="T2" s="1">
        <f>(J2*1.4)+J2</f>
        <v>28.560000000000002</v>
      </c>
      <c r="U2" s="1">
        <f>(K2*1.6)+K2</f>
        <v>89.44</v>
      </c>
    </row>
    <row r="3" spans="1:21" x14ac:dyDescent="0.2">
      <c r="A3" s="1" t="s">
        <v>45</v>
      </c>
      <c r="B3" s="1" t="s">
        <v>1073</v>
      </c>
      <c r="C3" s="1">
        <v>21.4</v>
      </c>
      <c r="D3" s="1">
        <v>19.7</v>
      </c>
      <c r="E3" s="1">
        <v>7.9</v>
      </c>
      <c r="F3" s="1">
        <v>5.6</v>
      </c>
      <c r="G3" s="1">
        <v>6.5</v>
      </c>
      <c r="M3" s="1">
        <v>21.4</v>
      </c>
      <c r="N3" s="1">
        <f t="shared" ref="N3:N9" si="0">(D3*0.2)+D3</f>
        <v>23.64</v>
      </c>
      <c r="O3" s="1">
        <f t="shared" ref="O3:O9" si="1">(E3*0.4)+E3</f>
        <v>11.06</v>
      </c>
      <c r="P3" s="1">
        <f t="shared" ref="P3:P6" si="2">(F3*0.6)+F3</f>
        <v>8.9599999999999991</v>
      </c>
      <c r="Q3" s="1">
        <f t="shared" ref="Q3:Q6" si="3">(G3*0.8)+G3</f>
        <v>11.7</v>
      </c>
      <c r="R3" s="1"/>
      <c r="S3" s="1"/>
      <c r="U3" s="1"/>
    </row>
    <row r="4" spans="1:21" x14ac:dyDescent="0.2">
      <c r="A4" s="1" t="s">
        <v>46</v>
      </c>
      <c r="B4" s="1" t="s">
        <v>1074</v>
      </c>
      <c r="C4" s="1">
        <v>24.3</v>
      </c>
      <c r="D4" s="1">
        <v>11.7</v>
      </c>
      <c r="E4" s="1">
        <v>3.1</v>
      </c>
      <c r="G4" s="1">
        <v>5</v>
      </c>
      <c r="H4" s="1">
        <v>2.7</v>
      </c>
      <c r="I4" s="1"/>
      <c r="M4" s="1">
        <v>24.3</v>
      </c>
      <c r="N4" s="1">
        <f t="shared" si="0"/>
        <v>14.04</v>
      </c>
      <c r="O4" s="1">
        <f t="shared" si="1"/>
        <v>4.34</v>
      </c>
      <c r="P4" s="1"/>
      <c r="Q4" s="1">
        <f t="shared" si="3"/>
        <v>9</v>
      </c>
      <c r="R4" s="1">
        <f t="shared" ref="R4" si="4">(H4*1)+H4</f>
        <v>5.4</v>
      </c>
      <c r="S4" s="1"/>
      <c r="U4" s="1"/>
    </row>
    <row r="5" spans="1:21" x14ac:dyDescent="0.2">
      <c r="A5" s="1" t="s">
        <v>47</v>
      </c>
      <c r="B5" s="1" t="s">
        <v>1075</v>
      </c>
      <c r="C5" s="1">
        <v>11.7</v>
      </c>
      <c r="D5" s="1">
        <v>8.8000000000000007</v>
      </c>
      <c r="E5" s="1">
        <v>13.8</v>
      </c>
      <c r="F5" s="1">
        <v>0.8</v>
      </c>
      <c r="G5" s="1">
        <v>0</v>
      </c>
      <c r="H5" s="1">
        <v>0</v>
      </c>
      <c r="I5" s="1">
        <v>0.2</v>
      </c>
      <c r="M5" s="1">
        <v>11.7</v>
      </c>
      <c r="N5" s="1">
        <f t="shared" si="0"/>
        <v>10.56</v>
      </c>
      <c r="O5" s="1">
        <f t="shared" si="1"/>
        <v>19.32</v>
      </c>
      <c r="P5" s="1">
        <f t="shared" si="2"/>
        <v>1.28</v>
      </c>
      <c r="Q5" s="1">
        <f>(G5*0.8)+G5</f>
        <v>0</v>
      </c>
      <c r="R5" s="1">
        <f>(H5*1)+H5</f>
        <v>0</v>
      </c>
      <c r="S5" s="1">
        <f t="shared" ref="S5" si="5">(I5*1.2)+I5</f>
        <v>0.44</v>
      </c>
      <c r="T5" s="1"/>
      <c r="U5" s="1"/>
    </row>
    <row r="6" spans="1:21" ht="16" x14ac:dyDescent="0.2">
      <c r="A6" s="1" t="s">
        <v>428</v>
      </c>
      <c r="B6" s="16" t="s">
        <v>1076</v>
      </c>
      <c r="C6" s="1">
        <v>9</v>
      </c>
      <c r="D6" s="1">
        <v>7</v>
      </c>
      <c r="E6" s="1">
        <v>28.2</v>
      </c>
      <c r="F6" s="1">
        <v>41.1</v>
      </c>
      <c r="G6" s="1">
        <v>42</v>
      </c>
      <c r="H6" s="1">
        <v>52.7</v>
      </c>
      <c r="I6" s="1">
        <v>45</v>
      </c>
      <c r="J6" s="1">
        <v>49.3</v>
      </c>
      <c r="K6" s="1">
        <v>54.1</v>
      </c>
      <c r="M6" s="1">
        <v>9</v>
      </c>
      <c r="N6" s="1">
        <f t="shared" si="0"/>
        <v>8.4</v>
      </c>
      <c r="O6" s="1">
        <f t="shared" si="1"/>
        <v>39.480000000000004</v>
      </c>
      <c r="P6" s="1">
        <f t="shared" si="2"/>
        <v>65.760000000000005</v>
      </c>
      <c r="Q6" s="1">
        <f t="shared" si="3"/>
        <v>75.599999999999994</v>
      </c>
      <c r="R6" s="1">
        <f t="shared" ref="R6" si="6">(H6*1)+H6</f>
        <v>105.4</v>
      </c>
      <c r="S6" s="1">
        <f t="shared" ref="S6" si="7">(I6*1.2)+I6</f>
        <v>99</v>
      </c>
      <c r="T6" s="1">
        <f>(J6*1.4)+J6</f>
        <v>118.32</v>
      </c>
      <c r="U6" s="1">
        <f t="shared" ref="U6" si="8">(K6*1.6)+K6</f>
        <v>140.66</v>
      </c>
    </row>
    <row r="7" spans="1:21" ht="16" x14ac:dyDescent="0.2">
      <c r="A7" s="1" t="s">
        <v>1477</v>
      </c>
      <c r="B7" s="16" t="s">
        <v>1479</v>
      </c>
      <c r="C7" s="1"/>
      <c r="D7" s="1"/>
      <c r="E7" s="1"/>
      <c r="F7" s="1"/>
      <c r="G7" s="1"/>
      <c r="H7" s="1"/>
      <c r="I7" s="1"/>
      <c r="J7" s="1"/>
      <c r="K7" s="1">
        <v>5.9</v>
      </c>
      <c r="M7" s="1"/>
      <c r="N7" s="1"/>
      <c r="O7" s="1"/>
      <c r="P7" s="1"/>
      <c r="Q7" s="1"/>
      <c r="R7" s="1"/>
      <c r="S7" s="1"/>
      <c r="T7" s="1"/>
      <c r="U7" s="1">
        <v>5.9</v>
      </c>
    </row>
    <row r="8" spans="1:21" ht="16" x14ac:dyDescent="0.2">
      <c r="A8" s="1" t="s">
        <v>1478</v>
      </c>
      <c r="B8" s="16" t="s">
        <v>1480</v>
      </c>
      <c r="C8" s="1"/>
      <c r="D8" s="1"/>
      <c r="E8" s="1"/>
      <c r="F8" s="1"/>
      <c r="G8" s="1"/>
      <c r="H8" s="1"/>
      <c r="I8" s="1"/>
      <c r="J8" s="1">
        <v>1.7</v>
      </c>
      <c r="K8" s="1">
        <v>3.3</v>
      </c>
      <c r="M8" s="1"/>
      <c r="N8" s="1"/>
      <c r="O8" s="1"/>
      <c r="P8" s="1"/>
      <c r="Q8" s="1"/>
      <c r="R8" s="1"/>
      <c r="S8" s="1"/>
      <c r="T8" s="1">
        <v>1.7</v>
      </c>
      <c r="U8" s="1">
        <f>(K8*0.2)+K8</f>
        <v>3.96</v>
      </c>
    </row>
    <row r="9" spans="1:21" x14ac:dyDescent="0.2">
      <c r="A9" s="1" t="s">
        <v>48</v>
      </c>
      <c r="B9" s="1" t="s">
        <v>1077</v>
      </c>
      <c r="C9" s="1">
        <v>6.5</v>
      </c>
      <c r="D9" s="1">
        <v>7</v>
      </c>
      <c r="E9" s="1">
        <v>2.6</v>
      </c>
      <c r="G9" s="1"/>
      <c r="M9" s="1">
        <v>6.5</v>
      </c>
      <c r="N9" s="1">
        <f t="shared" si="0"/>
        <v>8.4</v>
      </c>
      <c r="O9" s="1">
        <f t="shared" si="1"/>
        <v>3.64</v>
      </c>
      <c r="P9" s="1"/>
      <c r="Q9" s="1"/>
      <c r="R9" s="1"/>
      <c r="S9" s="1"/>
    </row>
    <row r="10" spans="1:21" x14ac:dyDescent="0.2">
      <c r="A10" s="1" t="s">
        <v>74</v>
      </c>
      <c r="B10" s="1" t="s">
        <v>1078</v>
      </c>
      <c r="C10" s="1">
        <v>3.1</v>
      </c>
      <c r="D10" s="1">
        <v>2.1</v>
      </c>
      <c r="E10" s="1"/>
      <c r="G10" s="1"/>
      <c r="M10" s="1">
        <v>3.1</v>
      </c>
      <c r="N10" s="1">
        <f>(D10*0.2)+D10</f>
        <v>2.52</v>
      </c>
      <c r="O10" s="1"/>
      <c r="P10" s="1"/>
      <c r="Q10" s="1"/>
      <c r="R10" s="1"/>
      <c r="S10" s="1"/>
    </row>
    <row r="11" spans="1:21" ht="16" x14ac:dyDescent="0.2">
      <c r="A11" s="15" t="s">
        <v>260</v>
      </c>
      <c r="B11" s="1" t="s">
        <v>765</v>
      </c>
      <c r="C11" s="1"/>
      <c r="D11" s="1"/>
      <c r="E11" s="1"/>
      <c r="F11" s="1">
        <v>3.9</v>
      </c>
      <c r="G11" s="1">
        <v>0.3</v>
      </c>
      <c r="M11" s="1"/>
      <c r="N11" s="1"/>
      <c r="O11" s="1"/>
      <c r="P11" s="1">
        <v>3.9</v>
      </c>
      <c r="Q11" s="1">
        <f>(G11*0.2)+G11</f>
        <v>0.36</v>
      </c>
      <c r="R11" s="1"/>
      <c r="S11" s="1"/>
    </row>
    <row r="12" spans="1:21" ht="16" x14ac:dyDescent="0.2">
      <c r="A12" s="15" t="s">
        <v>429</v>
      </c>
      <c r="B12" s="1" t="s">
        <v>1079</v>
      </c>
      <c r="C12" s="1">
        <v>3.7</v>
      </c>
      <c r="D12" s="1">
        <v>3.2</v>
      </c>
      <c r="E12" s="1">
        <v>4.0999999999999996</v>
      </c>
      <c r="F12" s="1">
        <v>2.2000000000000002</v>
      </c>
      <c r="G12" s="1">
        <v>0.4</v>
      </c>
      <c r="H12" s="1">
        <v>0.1</v>
      </c>
      <c r="I12" s="1">
        <v>0.6</v>
      </c>
      <c r="J12" s="1">
        <v>0.3</v>
      </c>
      <c r="K12" s="1"/>
      <c r="M12" s="1">
        <v>3.7</v>
      </c>
      <c r="N12" s="1">
        <f>(D12*0.2)+D12</f>
        <v>3.8400000000000003</v>
      </c>
      <c r="O12" s="1">
        <f>(E12*0.4)+E12</f>
        <v>5.7399999999999993</v>
      </c>
      <c r="P12" s="1">
        <f>(F12*0.6)+F12</f>
        <v>3.5200000000000005</v>
      </c>
      <c r="Q12" s="1">
        <f>(G12*0.8)+G12</f>
        <v>0.72000000000000008</v>
      </c>
      <c r="R12" s="1">
        <f>(H12*1)+H12</f>
        <v>0.2</v>
      </c>
      <c r="S12" s="1">
        <f>(I12*1.2)+I12</f>
        <v>1.3199999999999998</v>
      </c>
      <c r="T12" s="1">
        <f>(J12*1.4)+J12</f>
        <v>0.72</v>
      </c>
    </row>
    <row r="13" spans="1:21" ht="16" x14ac:dyDescent="0.2">
      <c r="A13" s="15" t="s">
        <v>430</v>
      </c>
      <c r="B13" s="1" t="s">
        <v>1080</v>
      </c>
      <c r="C13" s="1"/>
      <c r="D13" s="1">
        <v>1.6</v>
      </c>
      <c r="E13" s="1">
        <v>5.5</v>
      </c>
      <c r="F13" s="1">
        <v>4.4000000000000004</v>
      </c>
      <c r="G13" s="1">
        <v>2.2000000000000002</v>
      </c>
      <c r="J13" s="1">
        <v>0.2</v>
      </c>
      <c r="K13" s="1"/>
      <c r="M13" s="1"/>
      <c r="N13" s="1">
        <v>1.6</v>
      </c>
      <c r="O13" s="1">
        <f>(E13*0.2)+E13</f>
        <v>6.6</v>
      </c>
      <c r="P13" s="1">
        <f>(F13*0.4)+F13</f>
        <v>6.16</v>
      </c>
      <c r="Q13" s="1">
        <f>(G13*0.6)+G13</f>
        <v>3.5200000000000005</v>
      </c>
      <c r="R13" s="1"/>
      <c r="S13" s="1"/>
      <c r="T13" s="1">
        <f>(J13*1.2)+J13</f>
        <v>0.44</v>
      </c>
    </row>
    <row r="14" spans="1:21" ht="16" x14ac:dyDescent="0.2">
      <c r="A14" s="15" t="s">
        <v>431</v>
      </c>
      <c r="B14" s="1" t="s">
        <v>1081</v>
      </c>
      <c r="C14" s="1">
        <v>3.6</v>
      </c>
      <c r="D14" s="1">
        <v>0.9</v>
      </c>
      <c r="E14" s="1">
        <v>0.1</v>
      </c>
      <c r="G14" s="1"/>
      <c r="H14" s="1">
        <v>0.1</v>
      </c>
      <c r="M14" s="1">
        <v>3.6</v>
      </c>
      <c r="N14" s="1">
        <f>(D14*0.2)+D14</f>
        <v>1.08</v>
      </c>
      <c r="O14" s="1">
        <f>(E14*0.4)+E14</f>
        <v>0.14000000000000001</v>
      </c>
      <c r="P14" s="1"/>
      <c r="Q14" s="1"/>
      <c r="R14" s="1">
        <f>(H14*1)+H14</f>
        <v>0.2</v>
      </c>
      <c r="S14" s="1"/>
    </row>
    <row r="15" spans="1:21" ht="16" x14ac:dyDescent="0.2">
      <c r="A15" s="15" t="s">
        <v>546</v>
      </c>
      <c r="B15" s="1" t="s">
        <v>1356</v>
      </c>
      <c r="C15" s="1"/>
      <c r="D15" s="1"/>
      <c r="E15" s="1"/>
      <c r="G15" s="1"/>
      <c r="H15" s="1"/>
      <c r="J15" s="1">
        <v>5.4</v>
      </c>
      <c r="K15" s="1"/>
      <c r="M15" s="1"/>
      <c r="N15" s="1"/>
      <c r="O15" s="1"/>
      <c r="P15" s="1"/>
      <c r="Q15" s="1"/>
      <c r="R15" s="1"/>
      <c r="S15" s="1"/>
      <c r="T15" s="1">
        <f>(J15*0.2)+J15</f>
        <v>6.48</v>
      </c>
    </row>
    <row r="16" spans="1:21" ht="16" x14ac:dyDescent="0.2">
      <c r="A16" s="15" t="s">
        <v>1354</v>
      </c>
      <c r="B16" s="1" t="s">
        <v>1355</v>
      </c>
      <c r="C16" s="1"/>
      <c r="D16" s="1"/>
      <c r="E16" s="1"/>
      <c r="G16" s="1"/>
      <c r="H16" s="1"/>
      <c r="J16" s="1">
        <v>3.1</v>
      </c>
      <c r="K16" s="1"/>
      <c r="M16" s="1"/>
      <c r="N16" s="1"/>
      <c r="O16" s="1"/>
      <c r="P16" s="1"/>
      <c r="Q16" s="1"/>
      <c r="R16" s="1"/>
      <c r="S16" s="1"/>
      <c r="T16" s="1">
        <v>3.1</v>
      </c>
    </row>
    <row r="17" spans="1:22" x14ac:dyDescent="0.2">
      <c r="A17" s="1" t="s">
        <v>342</v>
      </c>
      <c r="B17" s="1" t="s">
        <v>342</v>
      </c>
      <c r="C17" s="1"/>
      <c r="D17" s="1"/>
      <c r="E17" s="1"/>
      <c r="G17" s="1"/>
      <c r="H17" s="1">
        <v>16.7</v>
      </c>
      <c r="I17" s="1">
        <v>20.3</v>
      </c>
      <c r="J17" s="1">
        <v>19.100000000000001</v>
      </c>
      <c r="K17" s="1"/>
      <c r="M17" s="1"/>
      <c r="N17" s="1"/>
      <c r="O17" s="1"/>
      <c r="P17" s="1"/>
      <c r="Q17" s="1"/>
      <c r="R17" s="3">
        <f>(H17*0.2)+H17</f>
        <v>20.04</v>
      </c>
      <c r="S17" s="1">
        <f>(I17*0.4)+I17</f>
        <v>28.42</v>
      </c>
      <c r="T17" s="1">
        <f>(J17*0.6)+J17</f>
        <v>30.560000000000002</v>
      </c>
    </row>
    <row r="18" spans="1:22" x14ac:dyDescent="0.2">
      <c r="A18" s="1" t="s">
        <v>343</v>
      </c>
      <c r="B18" s="1" t="s">
        <v>1082</v>
      </c>
      <c r="C18" s="1"/>
      <c r="D18" s="1"/>
      <c r="E18" s="1"/>
      <c r="G18" s="1"/>
      <c r="H18" s="1">
        <v>7.5</v>
      </c>
      <c r="I18" s="1">
        <v>5.4</v>
      </c>
      <c r="J18" s="1">
        <v>7.1</v>
      </c>
      <c r="K18" s="1"/>
      <c r="M18" s="1"/>
      <c r="N18" s="1"/>
      <c r="O18" s="1"/>
      <c r="P18" s="1"/>
      <c r="Q18" s="1"/>
      <c r="R18" s="1">
        <v>7.5</v>
      </c>
      <c r="S18" s="1">
        <f>(I18*0.2)+I18</f>
        <v>6.48</v>
      </c>
      <c r="T18" s="1">
        <f>(J18*0.4)+J18</f>
        <v>9.94</v>
      </c>
      <c r="U18" s="4"/>
    </row>
    <row r="19" spans="1:22" x14ac:dyDescent="0.2">
      <c r="A19" s="3"/>
      <c r="B19" s="3"/>
      <c r="C19" s="1"/>
      <c r="D19" s="1"/>
      <c r="E19" s="1"/>
      <c r="F19" s="1"/>
      <c r="G19" s="1"/>
      <c r="H19" s="1"/>
      <c r="I19" s="1"/>
      <c r="J19" s="1"/>
      <c r="K19" s="1"/>
      <c r="L19" s="3" t="s">
        <v>14</v>
      </c>
      <c r="M19" s="1">
        <f t="shared" ref="M19:U19" si="9">SUM(M2:M18)</f>
        <v>94.199999999999989</v>
      </c>
      <c r="N19" s="1">
        <f t="shared" si="9"/>
        <v>113.68</v>
      </c>
      <c r="O19" s="1">
        <f t="shared" si="9"/>
        <v>135.54</v>
      </c>
      <c r="P19" s="1">
        <f t="shared" si="9"/>
        <v>156.94000000000003</v>
      </c>
      <c r="Q19" s="1">
        <f t="shared" si="9"/>
        <v>178.66000000000003</v>
      </c>
      <c r="R19" s="1">
        <f t="shared" si="9"/>
        <v>177.33999999999997</v>
      </c>
      <c r="S19" s="1">
        <f t="shared" si="9"/>
        <v>192.19999999999996</v>
      </c>
      <c r="T19" s="1">
        <f t="shared" si="9"/>
        <v>199.81999999999996</v>
      </c>
      <c r="U19" s="1">
        <f t="shared" si="9"/>
        <v>239.96</v>
      </c>
      <c r="V19" s="5"/>
    </row>
    <row r="21" spans="1:22" x14ac:dyDescent="0.2">
      <c r="C21" s="1"/>
      <c r="D21" s="1"/>
      <c r="E21" s="1"/>
      <c r="F21" s="1"/>
      <c r="G21" s="1"/>
      <c r="H21" s="1"/>
      <c r="I21" s="1"/>
      <c r="J21" s="1"/>
      <c r="K21" s="1"/>
      <c r="M21" s="1">
        <v>100</v>
      </c>
      <c r="N21" s="1">
        <v>120</v>
      </c>
      <c r="O21" s="1">
        <v>140</v>
      </c>
      <c r="P21" s="1">
        <v>160</v>
      </c>
      <c r="Q21" s="1">
        <v>180</v>
      </c>
      <c r="R21" s="1">
        <v>200</v>
      </c>
      <c r="S21" s="1">
        <v>220</v>
      </c>
      <c r="T21" s="1">
        <v>240</v>
      </c>
      <c r="U21" s="1">
        <v>260</v>
      </c>
    </row>
    <row r="23" spans="1:22" x14ac:dyDescent="0.2">
      <c r="A23" s="8"/>
      <c r="B23" s="8"/>
      <c r="C23" s="1"/>
      <c r="D23" s="1"/>
      <c r="E23" s="1"/>
      <c r="F23" s="1"/>
      <c r="G23" s="1"/>
      <c r="H23" s="1"/>
      <c r="I23" s="1"/>
      <c r="J23" s="1"/>
      <c r="K23" s="1"/>
      <c r="M23" s="1">
        <f>M19</f>
        <v>94.199999999999989</v>
      </c>
      <c r="N23" s="1">
        <f>SUM(M23+N19)</f>
        <v>207.88</v>
      </c>
      <c r="O23" s="1">
        <f>SUM(N23+O19)</f>
        <v>343.41999999999996</v>
      </c>
      <c r="P23" s="1">
        <f>SUM(O23+P19)</f>
        <v>500.36</v>
      </c>
      <c r="Q23" s="1">
        <f t="shared" ref="Q23:U23" si="10">SUM(P23+Q19)</f>
        <v>679.02</v>
      </c>
      <c r="R23" s="1">
        <f t="shared" si="10"/>
        <v>856.3599999999999</v>
      </c>
      <c r="S23" s="1">
        <f t="shared" si="10"/>
        <v>1048.56</v>
      </c>
      <c r="T23" s="1">
        <f t="shared" si="10"/>
        <v>1248.3799999999999</v>
      </c>
      <c r="U23" s="1">
        <f t="shared" si="10"/>
        <v>1488.34</v>
      </c>
    </row>
    <row r="24" spans="1:22" x14ac:dyDescent="0.2">
      <c r="C24" s="1"/>
      <c r="D24" s="1"/>
      <c r="E24" s="1"/>
      <c r="F24" s="1"/>
      <c r="M24" s="3"/>
      <c r="N24" s="3"/>
      <c r="O24" s="3"/>
      <c r="P24" s="3"/>
      <c r="Q24" s="1"/>
      <c r="R24" s="3"/>
      <c r="S24" s="3"/>
    </row>
    <row r="25" spans="1:22" x14ac:dyDescent="0.2">
      <c r="C25" s="4"/>
      <c r="D25" s="4"/>
      <c r="E25" s="4"/>
      <c r="F25" s="4"/>
      <c r="G25" s="4"/>
      <c r="H25" s="4"/>
      <c r="I25" s="4"/>
      <c r="J25" s="4"/>
      <c r="K25" s="4"/>
      <c r="M25" s="1">
        <v>100</v>
      </c>
      <c r="N25" s="1">
        <f>SUM(M25+N21)</f>
        <v>220</v>
      </c>
      <c r="O25" s="1">
        <f>SUM(N25+O21)</f>
        <v>360</v>
      </c>
      <c r="P25" s="1">
        <f>SUM(O25+P21)</f>
        <v>520</v>
      </c>
      <c r="Q25" s="1">
        <f t="shared" ref="Q25:U25" si="11">SUM(P25+Q21)</f>
        <v>700</v>
      </c>
      <c r="R25" s="1">
        <f t="shared" si="11"/>
        <v>900</v>
      </c>
      <c r="S25" s="1">
        <f t="shared" si="11"/>
        <v>1120</v>
      </c>
      <c r="T25" s="1">
        <f t="shared" si="11"/>
        <v>1360</v>
      </c>
      <c r="U25" s="1">
        <f t="shared" si="11"/>
        <v>1620</v>
      </c>
    </row>
    <row r="26" spans="1:22" x14ac:dyDescent="0.2">
      <c r="C26" s="6"/>
      <c r="D26" s="6"/>
      <c r="E26" s="6"/>
      <c r="F26" s="6"/>
      <c r="G26" s="6"/>
      <c r="H26" s="6"/>
      <c r="I26" s="6"/>
      <c r="J26" s="6"/>
      <c r="K26" s="6"/>
      <c r="T26" s="1"/>
      <c r="U26" s="1"/>
      <c r="V26" s="5"/>
    </row>
    <row r="27" spans="1:22" x14ac:dyDescent="0.2">
      <c r="M27" s="4" t="s">
        <v>1563</v>
      </c>
      <c r="N27" s="4" t="s">
        <v>1563</v>
      </c>
      <c r="O27" s="4" t="s">
        <v>1563</v>
      </c>
      <c r="P27" s="4" t="s">
        <v>1563</v>
      </c>
      <c r="Q27" s="4" t="s">
        <v>1563</v>
      </c>
      <c r="R27" s="4" t="s">
        <v>1563</v>
      </c>
      <c r="S27" s="4" t="s">
        <v>1563</v>
      </c>
      <c r="T27" s="4" t="s">
        <v>1563</v>
      </c>
      <c r="U27" s="4" t="s">
        <v>1563</v>
      </c>
    </row>
    <row r="28" spans="1:22" x14ac:dyDescent="0.2">
      <c r="M28" s="6">
        <f>(M23/M25)*100</f>
        <v>94.199999999999989</v>
      </c>
      <c r="N28" s="6">
        <f>(N23/N25)*100</f>
        <v>94.490909090909099</v>
      </c>
      <c r="O28" s="6">
        <f>(O23/O25)*100</f>
        <v>95.394444444444431</v>
      </c>
      <c r="P28" s="6">
        <f>(P23/P25)*100</f>
        <v>96.223076923076917</v>
      </c>
      <c r="Q28" s="6">
        <f>(Q23/Q25)*100</f>
        <v>97.002857142857138</v>
      </c>
      <c r="R28" s="6">
        <f t="shared" ref="R28:U28" si="12">(R23/R25)*100</f>
        <v>95.151111111111092</v>
      </c>
      <c r="S28" s="6">
        <f t="shared" si="12"/>
        <v>93.621428571428567</v>
      </c>
      <c r="T28" s="36">
        <f t="shared" si="12"/>
        <v>91.792647058823519</v>
      </c>
      <c r="U28" s="6">
        <f t="shared" si="12"/>
        <v>91.872839506172838</v>
      </c>
    </row>
    <row r="29" spans="1:22" ht="16" x14ac:dyDescent="0.2">
      <c r="A29" s="15"/>
      <c r="B29" s="15"/>
      <c r="C29" s="16"/>
      <c r="M29" s="6"/>
      <c r="N29" s="6"/>
      <c r="O29" s="6"/>
      <c r="P29" s="6"/>
      <c r="Q29" s="6"/>
      <c r="R29" s="6"/>
      <c r="S29" s="6"/>
      <c r="T29" s="6"/>
    </row>
    <row r="30" spans="1:22" x14ac:dyDescent="0.2">
      <c r="M30" s="4"/>
      <c r="N30" s="4"/>
      <c r="O30" s="4"/>
      <c r="P30" s="4"/>
      <c r="Q30" s="4"/>
      <c r="R30" s="4"/>
      <c r="S30" s="4"/>
    </row>
    <row r="31" spans="1:22" ht="16" x14ac:dyDescent="0.2">
      <c r="A31" s="15"/>
      <c r="B31" s="15"/>
      <c r="C31" s="16"/>
      <c r="M31" s="6"/>
      <c r="N31" s="6"/>
      <c r="O31" s="6"/>
      <c r="P31" s="6"/>
      <c r="Q31" s="6"/>
      <c r="R31" s="6"/>
      <c r="S31" s="6"/>
    </row>
  </sheetData>
  <pageMargins left="0.7" right="0.7" top="0.75" bottom="0.75" header="0.3" footer="0.3"/>
  <pageSetup paperSize="9" orientation="portrait"/>
  <ignoredErrors>
    <ignoredError sqref="O1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C52"/>
  <sheetViews>
    <sheetView topLeftCell="T19" workbookViewId="0">
      <selection activeCell="AD35" sqref="AD35:BC35"/>
    </sheetView>
  </sheetViews>
  <sheetFormatPr baseColWidth="10" defaultRowHeight="15" x14ac:dyDescent="0.2"/>
  <cols>
    <col min="2" max="2" width="32.5" customWidth="1"/>
  </cols>
  <sheetData>
    <row r="1" spans="1:55" ht="16" x14ac:dyDescent="0.2">
      <c r="A1" s="3" t="s">
        <v>15</v>
      </c>
      <c r="B1" s="24" t="s">
        <v>681</v>
      </c>
      <c r="C1" s="3">
        <v>1942</v>
      </c>
      <c r="D1" s="3">
        <v>1946</v>
      </c>
      <c r="E1" s="3">
        <v>1949</v>
      </c>
      <c r="F1" s="3">
        <v>1953</v>
      </c>
      <c r="G1" s="3">
        <v>1956</v>
      </c>
      <c r="H1" s="3" t="s">
        <v>76</v>
      </c>
      <c r="I1" s="3" t="s">
        <v>75</v>
      </c>
      <c r="J1" s="3">
        <v>1963</v>
      </c>
      <c r="K1" s="3">
        <v>1967</v>
      </c>
      <c r="L1" s="3">
        <v>1971</v>
      </c>
      <c r="M1" s="3">
        <v>1974</v>
      </c>
      <c r="N1" s="3">
        <v>1978</v>
      </c>
      <c r="O1" s="3">
        <v>1979</v>
      </c>
      <c r="P1" s="3">
        <v>1983</v>
      </c>
      <c r="Q1" s="3">
        <v>1987</v>
      </c>
      <c r="R1" s="3">
        <v>1991</v>
      </c>
      <c r="S1" s="3">
        <v>1995</v>
      </c>
      <c r="T1" s="3">
        <v>1999</v>
      </c>
      <c r="U1" s="3">
        <v>2003</v>
      </c>
      <c r="V1" s="3">
        <v>2007</v>
      </c>
      <c r="W1" s="3">
        <v>2009</v>
      </c>
      <c r="X1" s="3">
        <v>2013</v>
      </c>
      <c r="Y1" s="3">
        <v>2016</v>
      </c>
      <c r="Z1" s="3">
        <v>2017</v>
      </c>
      <c r="AA1" s="3">
        <v>2021</v>
      </c>
      <c r="AB1" s="3">
        <v>2024</v>
      </c>
      <c r="AD1" s="3">
        <v>1942</v>
      </c>
      <c r="AE1" s="3">
        <v>1946</v>
      </c>
      <c r="AF1" s="3">
        <v>1949</v>
      </c>
      <c r="AG1" s="3">
        <v>1953</v>
      </c>
      <c r="AH1" s="3">
        <v>1956</v>
      </c>
      <c r="AI1" s="3" t="s">
        <v>76</v>
      </c>
      <c r="AJ1" s="3" t="s">
        <v>75</v>
      </c>
      <c r="AK1" s="3">
        <v>1963</v>
      </c>
      <c r="AL1" s="3">
        <v>1967</v>
      </c>
      <c r="AM1" s="3">
        <v>1971</v>
      </c>
      <c r="AN1" s="3">
        <v>1974</v>
      </c>
      <c r="AO1" s="3">
        <v>1978</v>
      </c>
      <c r="AP1" s="3">
        <v>1979</v>
      </c>
      <c r="AQ1" s="3">
        <v>1983</v>
      </c>
      <c r="AR1" s="3">
        <v>1987</v>
      </c>
      <c r="AS1" s="3">
        <v>1991</v>
      </c>
      <c r="AT1" s="3">
        <v>1995</v>
      </c>
      <c r="AU1" s="3">
        <v>1999</v>
      </c>
      <c r="AV1" s="3">
        <v>2003</v>
      </c>
      <c r="AW1" s="3">
        <v>2007</v>
      </c>
      <c r="AX1" s="3">
        <v>2009</v>
      </c>
      <c r="AY1" s="3">
        <v>2013</v>
      </c>
      <c r="AZ1" s="3">
        <v>2016</v>
      </c>
      <c r="BA1" s="3">
        <v>2017</v>
      </c>
      <c r="BB1" s="3">
        <v>2021</v>
      </c>
      <c r="BC1" s="3">
        <v>2024</v>
      </c>
    </row>
    <row r="2" spans="1:55" ht="16" x14ac:dyDescent="0.2">
      <c r="A2" s="8" t="s">
        <v>77</v>
      </c>
      <c r="B2" s="16" t="s">
        <v>1053</v>
      </c>
      <c r="C2" s="1">
        <v>38.5</v>
      </c>
      <c r="D2" s="1">
        <v>39.5</v>
      </c>
      <c r="E2" s="1">
        <v>39.5</v>
      </c>
      <c r="F2" s="1">
        <v>37.1</v>
      </c>
      <c r="G2" s="1">
        <v>42.4</v>
      </c>
      <c r="H2" s="1">
        <v>42.5</v>
      </c>
      <c r="I2" s="1">
        <v>39.700000000000003</v>
      </c>
      <c r="J2" s="1">
        <v>41.4</v>
      </c>
      <c r="K2" s="1">
        <v>37.5</v>
      </c>
      <c r="L2" s="1">
        <v>36.200000000000003</v>
      </c>
      <c r="M2" s="1">
        <v>42.7</v>
      </c>
      <c r="N2" s="1">
        <v>32.700000000000003</v>
      </c>
      <c r="O2" s="1">
        <v>35.4</v>
      </c>
      <c r="P2" s="1">
        <v>38.6</v>
      </c>
      <c r="Q2" s="1">
        <v>27.2</v>
      </c>
      <c r="R2" s="1">
        <v>38.6</v>
      </c>
      <c r="S2" s="1">
        <v>37.1</v>
      </c>
      <c r="T2" s="1">
        <v>40.700000000000003</v>
      </c>
      <c r="U2" s="1">
        <v>33.700000000000003</v>
      </c>
      <c r="V2" s="1">
        <v>36.6</v>
      </c>
      <c r="W2" s="1">
        <v>23.7</v>
      </c>
      <c r="X2" s="1">
        <v>26.7</v>
      </c>
      <c r="Y2" s="1">
        <v>29</v>
      </c>
      <c r="Z2" s="1">
        <v>25.2</v>
      </c>
      <c r="AA2" s="1">
        <v>24.4</v>
      </c>
      <c r="AB2" s="1">
        <v>19.399999999999999</v>
      </c>
      <c r="AC2" s="16"/>
      <c r="AD2" s="1">
        <v>38.5</v>
      </c>
      <c r="AE2" s="1">
        <f>(D2*0.2)+C2</f>
        <v>46.4</v>
      </c>
      <c r="AF2" s="1">
        <f>(E2*0.35)+E2</f>
        <v>53.325000000000003</v>
      </c>
      <c r="AG2" s="1">
        <f>(F2*0.55)+F2</f>
        <v>57.505000000000003</v>
      </c>
      <c r="AH2" s="1">
        <f>(G2*0.7)+G2</f>
        <v>72.08</v>
      </c>
      <c r="AI2" s="1">
        <f>(H2*0.85)+H2</f>
        <v>78.625</v>
      </c>
      <c r="AJ2" s="1">
        <f>(I2*0.85)+I2</f>
        <v>73.445000000000007</v>
      </c>
      <c r="AK2" s="1">
        <f>(J2*1.05)+J2</f>
        <v>84.87</v>
      </c>
      <c r="AL2" s="1">
        <f t="shared" ref="AL2:AL3" si="0">(K2*1.25)+K2</f>
        <v>84.375</v>
      </c>
      <c r="AM2" s="1">
        <f>(L2*1.45)+L2</f>
        <v>88.69</v>
      </c>
      <c r="AN2" s="1">
        <f>(M2*1.6)+M2</f>
        <v>111.02000000000001</v>
      </c>
      <c r="AO2" s="1">
        <f>(N2*1.8)+N2</f>
        <v>91.56</v>
      </c>
      <c r="AP2" s="1">
        <f>(O2*1.85)+O2</f>
        <v>100.88999999999999</v>
      </c>
      <c r="AQ2" s="1">
        <f>(P2*2.05)+P2</f>
        <v>117.72999999999999</v>
      </c>
      <c r="AR2" s="1">
        <f>(Q2*2.25)+Q2</f>
        <v>88.399999999999991</v>
      </c>
      <c r="AS2" s="1">
        <f>(R2*2.45)+R2</f>
        <v>133.17000000000002</v>
      </c>
      <c r="AT2" s="1">
        <f>(S2*2.65)+S2</f>
        <v>135.41499999999999</v>
      </c>
      <c r="AU2" s="1">
        <f>(T2*2.85)+T2</f>
        <v>156.69500000000002</v>
      </c>
      <c r="AV2" s="1">
        <f>(U2*3.05)+U2</f>
        <v>136.48500000000001</v>
      </c>
      <c r="AW2" s="1">
        <f>(V2*3.25)+V2</f>
        <v>155.55000000000001</v>
      </c>
      <c r="AX2" s="1">
        <f>(W2*3.35)+W2</f>
        <v>103.095</v>
      </c>
      <c r="AY2" s="1">
        <f>(X2*3.55)+X2</f>
        <v>121.485</v>
      </c>
      <c r="AZ2" s="1">
        <f>(Y2*3.7)+Y2</f>
        <v>136.30000000000001</v>
      </c>
      <c r="BA2" s="1">
        <f>(Z2*3.75)+Z2</f>
        <v>119.7</v>
      </c>
      <c r="BB2" s="1">
        <f>(AA2*3.95)+AA2</f>
        <v>120.78</v>
      </c>
      <c r="BC2" s="1">
        <f>(AB2*4.1)+AB2</f>
        <v>98.94</v>
      </c>
    </row>
    <row r="3" spans="1:55" ht="16" x14ac:dyDescent="0.2">
      <c r="A3" s="8" t="s">
        <v>78</v>
      </c>
      <c r="B3" s="16" t="s">
        <v>1054</v>
      </c>
      <c r="C3" s="1">
        <v>26.6</v>
      </c>
      <c r="D3" s="1">
        <v>23.1</v>
      </c>
      <c r="E3" s="1">
        <v>24.5</v>
      </c>
      <c r="F3" s="1">
        <v>21.9</v>
      </c>
      <c r="G3" s="1">
        <v>15.6</v>
      </c>
      <c r="H3" s="1">
        <v>27.2</v>
      </c>
      <c r="I3" s="1">
        <v>25.7</v>
      </c>
      <c r="J3" s="1">
        <v>28.2</v>
      </c>
      <c r="K3" s="1">
        <v>28.1</v>
      </c>
      <c r="L3" s="1">
        <v>25.3</v>
      </c>
      <c r="M3" s="1">
        <v>24.9</v>
      </c>
      <c r="N3" s="1">
        <v>16.899999999999999</v>
      </c>
      <c r="O3" s="1">
        <v>24.9</v>
      </c>
      <c r="P3" s="1">
        <v>18.5</v>
      </c>
      <c r="Q3" s="1">
        <v>18.899999999999999</v>
      </c>
      <c r="R3" s="1">
        <v>18.899999999999999</v>
      </c>
      <c r="S3" s="1">
        <v>23.3</v>
      </c>
      <c r="T3" s="1">
        <v>18.399999999999999</v>
      </c>
      <c r="U3" s="1">
        <v>17.7</v>
      </c>
      <c r="V3" s="1">
        <v>11.7</v>
      </c>
      <c r="W3" s="1">
        <v>14.8</v>
      </c>
      <c r="X3" s="1">
        <v>24.4</v>
      </c>
      <c r="Y3" s="1">
        <v>11.5</v>
      </c>
      <c r="Z3" s="1">
        <v>10.7</v>
      </c>
      <c r="AA3" s="1">
        <v>17.3</v>
      </c>
      <c r="AB3" s="1">
        <v>7.8</v>
      </c>
      <c r="AC3" s="16"/>
      <c r="AD3" s="1">
        <v>26.6</v>
      </c>
      <c r="AE3" s="1">
        <f t="shared" ref="AE3:AE5" si="1">(D3*0.2)+C3</f>
        <v>31.220000000000002</v>
      </c>
      <c r="AF3" s="1">
        <f t="shared" ref="AF3:AF5" si="2">(E3*0.35)+E3</f>
        <v>33.075000000000003</v>
      </c>
      <c r="AG3" s="1">
        <f t="shared" ref="AG3:AG5" si="3">(F3*0.55)+F3</f>
        <v>33.945</v>
      </c>
      <c r="AH3" s="1">
        <f t="shared" ref="AH3:AH4" si="4">(G3*0.7)+G3</f>
        <v>26.52</v>
      </c>
      <c r="AI3" s="1">
        <f t="shared" ref="AI3:AI4" si="5">(H3*0.85)+H3</f>
        <v>50.319999999999993</v>
      </c>
      <c r="AJ3" s="1">
        <f t="shared" ref="AJ3:AJ4" si="6">(I3*0.85)+I3</f>
        <v>47.545000000000002</v>
      </c>
      <c r="AK3" s="1">
        <f t="shared" ref="AK3:AK4" si="7">(J3*1.05)+J3</f>
        <v>57.81</v>
      </c>
      <c r="AL3" s="1">
        <f t="shared" si="0"/>
        <v>63.225000000000001</v>
      </c>
      <c r="AM3" s="1">
        <f t="shared" ref="AM3:AM4" si="8">(L3*1.45)+L3</f>
        <v>61.984999999999999</v>
      </c>
      <c r="AN3" s="1">
        <f t="shared" ref="AN3:AN4" si="9">(M3*1.6)+M3</f>
        <v>64.740000000000009</v>
      </c>
      <c r="AO3" s="1">
        <f t="shared" ref="AO3:AO4" si="10">(N3*1.8)+N3</f>
        <v>47.319999999999993</v>
      </c>
      <c r="AP3" s="1">
        <f t="shared" ref="AP3:AP4" si="11">(O3*1.85)+O3</f>
        <v>70.965000000000003</v>
      </c>
      <c r="AQ3" s="1">
        <f t="shared" ref="AQ3:AQ4" si="12">(P3*2.05)+P3</f>
        <v>56.424999999999997</v>
      </c>
      <c r="AR3" s="1">
        <f t="shared" ref="AR3:AR4" si="13">(Q3*2.25)+Q3</f>
        <v>61.424999999999997</v>
      </c>
      <c r="AS3" s="1">
        <f t="shared" ref="AS3:AS4" si="14">(R3*2.45)+R3</f>
        <v>65.204999999999998</v>
      </c>
      <c r="AT3" s="1">
        <f t="shared" ref="AT3:AT4" si="15">(S3*2.65)+S3</f>
        <v>85.045000000000002</v>
      </c>
      <c r="AU3" s="1">
        <f>(T3*2.85)+T3</f>
        <v>70.84</v>
      </c>
      <c r="AV3" s="1">
        <f>(U3*3.05)+U3</f>
        <v>71.684999999999988</v>
      </c>
      <c r="AW3" s="1">
        <f>(V3*3.25)+V3</f>
        <v>49.724999999999994</v>
      </c>
      <c r="AX3" s="1">
        <f>(W3*3.35)+W3</f>
        <v>64.38000000000001</v>
      </c>
      <c r="AY3" s="1">
        <f>(X3*3.55)+X3</f>
        <v>111.01999999999998</v>
      </c>
      <c r="AZ3" s="1">
        <f>(Y3*3.7)+Y3</f>
        <v>54.050000000000004</v>
      </c>
      <c r="BA3" s="1">
        <f t="shared" ref="BA3" si="16">(Z3*3.75)+Z3</f>
        <v>50.825000000000003</v>
      </c>
      <c r="BB3" s="1">
        <f>(AA3*3.95)+AA3</f>
        <v>85.635000000000005</v>
      </c>
      <c r="BC3" s="1">
        <f>(AB3*3.95)+AB3</f>
        <v>38.61</v>
      </c>
    </row>
    <row r="4" spans="1:55" ht="16" x14ac:dyDescent="0.2">
      <c r="A4" s="21" t="s">
        <v>627</v>
      </c>
      <c r="B4" s="16" t="s">
        <v>437</v>
      </c>
      <c r="C4" s="1">
        <v>14.2</v>
      </c>
      <c r="D4" s="1">
        <v>17.8</v>
      </c>
      <c r="E4" s="1">
        <v>16.5</v>
      </c>
      <c r="F4" s="1">
        <v>15.6</v>
      </c>
      <c r="G4" s="1">
        <v>18.3</v>
      </c>
      <c r="H4" s="1">
        <v>12.5</v>
      </c>
      <c r="I4" s="1">
        <v>15.2</v>
      </c>
      <c r="J4" s="1">
        <v>14.2</v>
      </c>
      <c r="K4" s="1">
        <v>15.7</v>
      </c>
      <c r="L4" s="1">
        <v>10.5</v>
      </c>
      <c r="M4" s="1">
        <v>9.1</v>
      </c>
      <c r="N4" s="1">
        <v>22</v>
      </c>
      <c r="O4" s="1">
        <v>17.399999999999999</v>
      </c>
      <c r="P4" s="1">
        <v>11.7</v>
      </c>
      <c r="Q4" s="1">
        <v>15.2</v>
      </c>
      <c r="R4" s="1">
        <v>15.5</v>
      </c>
      <c r="S4" s="1">
        <v>11.4</v>
      </c>
      <c r="T4" s="1"/>
      <c r="U4" s="1"/>
      <c r="V4" s="1"/>
      <c r="W4" s="1"/>
      <c r="AB4" s="21"/>
      <c r="AC4" s="16"/>
      <c r="AD4" s="1">
        <v>14.2</v>
      </c>
      <c r="AE4" s="1">
        <f t="shared" si="1"/>
        <v>17.759999999999998</v>
      </c>
      <c r="AF4" s="1">
        <f t="shared" si="2"/>
        <v>22.274999999999999</v>
      </c>
      <c r="AG4" s="1">
        <f t="shared" si="3"/>
        <v>24.18</v>
      </c>
      <c r="AH4" s="1">
        <f t="shared" si="4"/>
        <v>31.11</v>
      </c>
      <c r="AI4" s="1">
        <f t="shared" si="5"/>
        <v>23.125</v>
      </c>
      <c r="AJ4" s="1">
        <f t="shared" si="6"/>
        <v>28.119999999999997</v>
      </c>
      <c r="AK4" s="1">
        <f t="shared" si="7"/>
        <v>29.11</v>
      </c>
      <c r="AL4" s="1">
        <f>(K4*1.25)+K4</f>
        <v>35.325000000000003</v>
      </c>
      <c r="AM4" s="1">
        <f t="shared" si="8"/>
        <v>25.725000000000001</v>
      </c>
      <c r="AN4" s="1">
        <f t="shared" si="9"/>
        <v>23.66</v>
      </c>
      <c r="AO4" s="1">
        <f t="shared" si="10"/>
        <v>61.6</v>
      </c>
      <c r="AP4" s="1">
        <f t="shared" si="11"/>
        <v>49.589999999999996</v>
      </c>
      <c r="AQ4" s="1">
        <f t="shared" si="12"/>
        <v>35.684999999999995</v>
      </c>
      <c r="AR4" s="1">
        <f t="shared" si="13"/>
        <v>49.399999999999991</v>
      </c>
      <c r="AS4" s="1">
        <f t="shared" si="14"/>
        <v>53.475000000000001</v>
      </c>
      <c r="AT4" s="1">
        <f t="shared" si="15"/>
        <v>41.61</v>
      </c>
      <c r="AU4" s="1"/>
      <c r="AV4" s="1"/>
      <c r="AW4" s="1"/>
      <c r="AX4" s="1"/>
      <c r="AY4" s="1"/>
      <c r="BA4" s="1"/>
    </row>
    <row r="5" spans="1:55" ht="16" x14ac:dyDescent="0.2">
      <c r="A5" s="8" t="s">
        <v>79</v>
      </c>
      <c r="B5" s="16" t="s">
        <v>1055</v>
      </c>
      <c r="C5" s="1">
        <v>18.5</v>
      </c>
      <c r="D5" s="1">
        <v>19.5</v>
      </c>
      <c r="E5" s="1">
        <v>19.5</v>
      </c>
      <c r="F5" s="1">
        <v>16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AB5" s="8"/>
      <c r="AC5" s="16"/>
      <c r="AD5" s="1">
        <v>18.5</v>
      </c>
      <c r="AE5" s="1">
        <f t="shared" si="1"/>
        <v>22.4</v>
      </c>
      <c r="AF5" s="1">
        <f t="shared" si="2"/>
        <v>26.324999999999999</v>
      </c>
      <c r="AG5" s="1">
        <f t="shared" si="3"/>
        <v>24.8</v>
      </c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BA5" s="1"/>
    </row>
    <row r="6" spans="1:55" ht="16" x14ac:dyDescent="0.2">
      <c r="A6" s="8" t="s">
        <v>638</v>
      </c>
      <c r="B6" s="16" t="s">
        <v>1056</v>
      </c>
      <c r="C6" s="1"/>
      <c r="D6" s="1"/>
      <c r="E6" s="1"/>
      <c r="F6" s="1">
        <v>6</v>
      </c>
      <c r="G6" s="1">
        <v>4.5</v>
      </c>
      <c r="H6" s="1">
        <v>2.5</v>
      </c>
      <c r="I6" s="1">
        <v>3.4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AB6" s="8"/>
      <c r="AC6" s="16"/>
      <c r="AD6" s="1"/>
      <c r="AE6" s="1"/>
      <c r="AF6" s="1"/>
      <c r="AG6" s="1">
        <v>6</v>
      </c>
      <c r="AH6" s="1">
        <f>(G6*0.15)+F6</f>
        <v>6.6749999999999998</v>
      </c>
      <c r="AI6" s="1">
        <f>(H6*0.3)+H6</f>
        <v>3.25</v>
      </c>
      <c r="AJ6" s="1">
        <f>(I6*0.3)+I6</f>
        <v>4.42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BA6" s="1"/>
    </row>
    <row r="7" spans="1:55" ht="16" x14ac:dyDescent="0.2">
      <c r="A7" s="8" t="s">
        <v>630</v>
      </c>
      <c r="B7" s="16" t="s">
        <v>1057</v>
      </c>
      <c r="C7" s="1"/>
      <c r="D7" s="1"/>
      <c r="E7" s="1"/>
      <c r="F7" s="1">
        <v>3.3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AB7" s="8"/>
      <c r="AC7" s="16"/>
      <c r="AD7" s="1"/>
      <c r="AE7" s="1"/>
      <c r="AF7" s="1"/>
      <c r="AG7" s="1">
        <v>3.3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BA7" s="1"/>
    </row>
    <row r="8" spans="1:55" ht="16" x14ac:dyDescent="0.2">
      <c r="A8" s="21" t="s">
        <v>631</v>
      </c>
      <c r="B8" s="16" t="s">
        <v>1058</v>
      </c>
      <c r="C8" s="1"/>
      <c r="D8" s="1"/>
      <c r="E8" s="1"/>
      <c r="F8" s="1"/>
      <c r="G8" s="1">
        <v>19.2</v>
      </c>
      <c r="H8" s="1">
        <v>15.2</v>
      </c>
      <c r="I8" s="1">
        <v>16</v>
      </c>
      <c r="J8" s="1">
        <v>16</v>
      </c>
      <c r="K8" s="1">
        <v>17.600000000000001</v>
      </c>
      <c r="L8" s="1">
        <v>17.100000000000001</v>
      </c>
      <c r="M8" s="1">
        <v>18.3</v>
      </c>
      <c r="N8" s="1">
        <v>22.9</v>
      </c>
      <c r="O8" s="1">
        <v>19.7</v>
      </c>
      <c r="P8" s="1">
        <v>17.3</v>
      </c>
      <c r="Q8" s="1">
        <v>13.3</v>
      </c>
      <c r="R8" s="1">
        <v>14.4</v>
      </c>
      <c r="S8" s="1">
        <v>14.3</v>
      </c>
      <c r="T8" s="1"/>
      <c r="U8" s="1"/>
      <c r="V8" s="1"/>
      <c r="W8" s="1"/>
      <c r="AB8" s="21"/>
      <c r="AC8" s="16"/>
      <c r="AD8" s="1"/>
      <c r="AE8" s="1"/>
      <c r="AF8" s="1"/>
      <c r="AG8" s="1"/>
      <c r="AH8" s="1">
        <v>19.2</v>
      </c>
      <c r="AI8" s="1">
        <f>(H8*0.15)+H8</f>
        <v>17.48</v>
      </c>
      <c r="AJ8" s="1">
        <f>(I8*0.15)+I8</f>
        <v>18.399999999999999</v>
      </c>
      <c r="AK8" s="1">
        <f>(J8*0.35)+J8</f>
        <v>21.6</v>
      </c>
      <c r="AL8" s="1">
        <f>(K8*0.55)+K8</f>
        <v>27.28</v>
      </c>
      <c r="AM8" s="1">
        <f>(L8*0.75)+L8</f>
        <v>29.925000000000004</v>
      </c>
      <c r="AN8" s="1">
        <f>(M8*0.9)+M8</f>
        <v>34.770000000000003</v>
      </c>
      <c r="AO8" s="1">
        <f>(N8*1.1)+N8</f>
        <v>48.09</v>
      </c>
      <c r="AP8" s="1">
        <f>(O8*1.15)+O8</f>
        <v>42.354999999999997</v>
      </c>
      <c r="AQ8" s="1">
        <f>(P8*1.35)+P8</f>
        <v>40.655000000000001</v>
      </c>
      <c r="AR8" s="1">
        <f>(Q8*1.55)+Q8</f>
        <v>33.915000000000006</v>
      </c>
      <c r="AS8" s="1">
        <f>(R8*1.75)+R8</f>
        <v>39.6</v>
      </c>
      <c r="AT8" s="1">
        <f>(S8*1.95)+S8</f>
        <v>42.185000000000002</v>
      </c>
      <c r="AU8" s="1"/>
      <c r="AV8" s="1"/>
      <c r="AW8" s="1"/>
      <c r="AX8" s="1"/>
      <c r="AY8" s="1"/>
      <c r="BA8" s="1"/>
    </row>
    <row r="9" spans="1:55" ht="16" x14ac:dyDescent="0.2">
      <c r="A9" s="21" t="s">
        <v>629</v>
      </c>
      <c r="B9" s="16" t="s">
        <v>1059</v>
      </c>
      <c r="C9" s="1"/>
      <c r="D9" s="1"/>
      <c r="E9" s="1"/>
      <c r="F9" s="1"/>
      <c r="G9" s="1"/>
      <c r="H9" s="1"/>
      <c r="I9" s="1"/>
      <c r="J9" s="1"/>
      <c r="K9" s="1"/>
      <c r="L9" s="1">
        <v>8.9</v>
      </c>
      <c r="M9" s="1">
        <v>4.5999999999999996</v>
      </c>
      <c r="N9" s="1">
        <v>3.3</v>
      </c>
      <c r="O9" s="1"/>
      <c r="P9" s="1"/>
      <c r="Q9" s="1"/>
      <c r="R9" s="1"/>
      <c r="S9" s="1"/>
      <c r="T9" s="1"/>
      <c r="U9" s="1"/>
      <c r="V9" s="1"/>
      <c r="W9" s="1"/>
      <c r="AB9" s="21"/>
      <c r="AC9" s="16"/>
      <c r="AD9" s="1"/>
      <c r="AE9" s="1"/>
      <c r="AF9" s="1"/>
      <c r="AG9" s="1"/>
      <c r="AH9" s="1"/>
      <c r="AI9" s="1"/>
      <c r="AJ9" s="1"/>
      <c r="AK9" s="1"/>
      <c r="AL9" s="1"/>
      <c r="AM9" s="1">
        <v>8.9</v>
      </c>
      <c r="AN9" s="1">
        <f>(M9*0.15)+M9</f>
        <v>5.2899999999999991</v>
      </c>
      <c r="AO9" s="1">
        <f>(N9*0.35)+N9</f>
        <v>4.4550000000000001</v>
      </c>
      <c r="AP9" s="1"/>
      <c r="AQ9" s="1"/>
      <c r="AR9" s="1"/>
      <c r="AS9" s="1"/>
      <c r="AT9" s="1"/>
      <c r="AU9" s="1"/>
      <c r="AV9" s="1"/>
      <c r="AW9" s="1"/>
      <c r="AX9" s="1"/>
      <c r="AY9" s="1"/>
      <c r="BA9" s="1"/>
    </row>
    <row r="10" spans="1:55" ht="16" x14ac:dyDescent="0.2">
      <c r="A10" s="21" t="s">
        <v>259</v>
      </c>
      <c r="B10" s="16" t="s">
        <v>1060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10.9</v>
      </c>
      <c r="R10" s="1"/>
      <c r="S10" s="1"/>
      <c r="T10" s="1"/>
      <c r="U10" s="1"/>
      <c r="V10" s="1"/>
      <c r="W10" s="1"/>
      <c r="AB10" s="21"/>
      <c r="AC10" s="16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v>10.9</v>
      </c>
      <c r="AS10" s="1"/>
      <c r="AT10" s="1"/>
      <c r="AU10" s="1"/>
      <c r="AV10" s="1"/>
      <c r="AW10" s="1"/>
      <c r="AX10" s="1"/>
      <c r="AY10" s="1"/>
      <c r="BA10" s="1"/>
    </row>
    <row r="11" spans="1:55" ht="16" x14ac:dyDescent="0.2">
      <c r="A11" s="21" t="s">
        <v>628</v>
      </c>
      <c r="B11" s="16" t="s">
        <v>1061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v>7.3</v>
      </c>
      <c r="Q11" s="1">
        <v>0.2</v>
      </c>
      <c r="R11" s="1"/>
      <c r="S11" s="1"/>
      <c r="T11" s="1"/>
      <c r="U11" s="1"/>
      <c r="V11" s="1"/>
      <c r="W11" s="1"/>
      <c r="AB11" s="21"/>
      <c r="AC11" s="16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>
        <v>7.3</v>
      </c>
      <c r="AR11" s="1">
        <f>(Q11*0.2)+P11</f>
        <v>7.34</v>
      </c>
      <c r="AS11" s="1"/>
      <c r="AT11" s="1"/>
      <c r="AU11" s="1"/>
      <c r="AV11" s="1"/>
      <c r="AW11" s="1"/>
      <c r="AX11" s="1"/>
      <c r="AY11" s="1"/>
      <c r="BA11" s="1"/>
    </row>
    <row r="12" spans="1:55" ht="16" x14ac:dyDescent="0.2">
      <c r="A12" s="21" t="s">
        <v>632</v>
      </c>
      <c r="B12" s="16" t="s">
        <v>1062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>
        <v>5.5</v>
      </c>
      <c r="Q12" s="1">
        <v>10.1</v>
      </c>
      <c r="R12" s="1">
        <v>8.3000000000000007</v>
      </c>
      <c r="S12" s="1">
        <v>4.9000000000000004</v>
      </c>
      <c r="T12" s="1"/>
      <c r="U12" s="1"/>
      <c r="V12" s="1"/>
      <c r="W12" s="1"/>
      <c r="AB12" s="21"/>
      <c r="AC12" s="16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>
        <v>5.5</v>
      </c>
      <c r="AR12" s="1">
        <f>(Q12*0.2)+Q12</f>
        <v>12.12</v>
      </c>
      <c r="AS12" s="1">
        <f>(R12*0.4)+R12</f>
        <v>11.620000000000001</v>
      </c>
      <c r="AT12" s="1">
        <f>(S12*0.6)+S12</f>
        <v>7.84</v>
      </c>
      <c r="AU12" s="1"/>
      <c r="AV12" s="1"/>
      <c r="AW12" s="1"/>
      <c r="AX12" s="1"/>
      <c r="AY12" s="1"/>
      <c r="BA12" s="1"/>
    </row>
    <row r="13" spans="1:55" ht="16" x14ac:dyDescent="0.2">
      <c r="A13" s="21" t="s">
        <v>639</v>
      </c>
      <c r="B13" s="16" t="s">
        <v>1063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v>7.2</v>
      </c>
      <c r="T13" s="1"/>
      <c r="U13" s="1"/>
      <c r="V13" s="1"/>
      <c r="W13" s="1"/>
      <c r="AB13" s="21"/>
      <c r="AC13" s="16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>
        <v>7.2</v>
      </c>
      <c r="AU13" s="1"/>
      <c r="AV13" s="1"/>
      <c r="AW13" s="1"/>
      <c r="AX13" s="1"/>
      <c r="AY13" s="1"/>
      <c r="BA13" s="1"/>
    </row>
    <row r="14" spans="1:55" ht="16" x14ac:dyDescent="0.2">
      <c r="A14" s="8" t="s">
        <v>333</v>
      </c>
      <c r="B14" s="16" t="s">
        <v>1064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v>26.8</v>
      </c>
      <c r="U14" s="1">
        <v>31</v>
      </c>
      <c r="V14" s="1">
        <v>26.8</v>
      </c>
      <c r="W14" s="1">
        <v>29.8</v>
      </c>
      <c r="X14" s="1">
        <v>12.9</v>
      </c>
      <c r="Y14" s="1">
        <v>5.7</v>
      </c>
      <c r="Z14" s="1">
        <v>12.1</v>
      </c>
      <c r="AA14" s="1">
        <v>9.9</v>
      </c>
      <c r="AB14" s="1">
        <v>20.8</v>
      </c>
      <c r="AC14" s="16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>
        <v>26.8</v>
      </c>
      <c r="AV14" s="1">
        <f>(U14*0.2)+U14</f>
        <v>37.200000000000003</v>
      </c>
      <c r="AW14" s="1">
        <f>(V14*0.4)+V14</f>
        <v>37.520000000000003</v>
      </c>
      <c r="AX14" s="1">
        <f>(W14*0.5)+W14</f>
        <v>44.7</v>
      </c>
      <c r="AY14" s="1">
        <f>(X14*0.7)+X14</f>
        <v>21.93</v>
      </c>
      <c r="AZ14" s="1">
        <f>(Y14*0.85)+Y14</f>
        <v>10.545</v>
      </c>
      <c r="BA14" s="1">
        <f>(Z14*0.9)+Z14</f>
        <v>22.990000000000002</v>
      </c>
      <c r="BB14" s="1">
        <f>(AA14*1.1)+AA14</f>
        <v>20.79</v>
      </c>
      <c r="BC14" s="1">
        <f>(AB14*1.25)+AB14</f>
        <v>46.8</v>
      </c>
    </row>
    <row r="15" spans="1:55" ht="16" x14ac:dyDescent="0.2">
      <c r="A15" s="8" t="s">
        <v>640</v>
      </c>
      <c r="B15" s="16" t="s">
        <v>1065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7.2</v>
      </c>
      <c r="X15" s="1"/>
      <c r="Y15" s="1"/>
      <c r="Z15" s="1"/>
      <c r="AA15" s="1"/>
      <c r="AB15" s="8"/>
      <c r="AC15" s="16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>
        <v>7.2</v>
      </c>
      <c r="AY15" s="1"/>
      <c r="BA15" s="1"/>
      <c r="BB15" s="1"/>
      <c r="BC15" s="1"/>
    </row>
    <row r="16" spans="1:55" ht="16" x14ac:dyDescent="0.2">
      <c r="A16" s="21" t="s">
        <v>633</v>
      </c>
      <c r="B16" s="16" t="s">
        <v>1066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v>3.3</v>
      </c>
      <c r="W16" s="1"/>
      <c r="X16" s="1"/>
      <c r="Y16" s="1"/>
      <c r="Z16" s="1"/>
      <c r="AA16" s="1"/>
      <c r="AB16" s="21"/>
      <c r="AC16" s="16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>
        <v>3.3</v>
      </c>
      <c r="AX16" s="1"/>
      <c r="AY16" s="1"/>
      <c r="BA16" s="1"/>
      <c r="BB16" s="1"/>
      <c r="BC16" s="1"/>
    </row>
    <row r="17" spans="1:55" ht="16" x14ac:dyDescent="0.2">
      <c r="A17" s="8" t="s">
        <v>82</v>
      </c>
      <c r="B17" s="16" t="s">
        <v>1067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>
        <v>9.1</v>
      </c>
      <c r="U17" s="1">
        <v>8.8000000000000007</v>
      </c>
      <c r="V17" s="1">
        <v>14.4</v>
      </c>
      <c r="W17" s="1">
        <v>21.7</v>
      </c>
      <c r="X17" s="1">
        <v>10.9</v>
      </c>
      <c r="Y17" s="1">
        <v>15.9</v>
      </c>
      <c r="Z17" s="1">
        <v>16.899999999999999</v>
      </c>
      <c r="AA17" s="1">
        <v>12.6</v>
      </c>
      <c r="AB17" s="1">
        <v>2.2999999999999998</v>
      </c>
      <c r="AC17" s="16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>
        <v>9.1</v>
      </c>
      <c r="AV17" s="1">
        <f t="shared" ref="AV17" si="17">(U17*0.2)+U17</f>
        <v>10.56</v>
      </c>
      <c r="AW17" s="1">
        <f>(V17*0.4)+V17</f>
        <v>20.16</v>
      </c>
      <c r="AX17" s="1">
        <f>(W17*0.5)+W17</f>
        <v>32.549999999999997</v>
      </c>
      <c r="AY17" s="1">
        <f>(X17*0.7)+X17</f>
        <v>18.53</v>
      </c>
      <c r="AZ17" s="1">
        <f>(Y17*0.85)+Y17</f>
        <v>29.414999999999999</v>
      </c>
      <c r="BA17" s="1">
        <f>(Z17*0.9)+Z17</f>
        <v>32.11</v>
      </c>
      <c r="BB17" s="1">
        <f t="shared" ref="BB17" si="18">(AA17*1.1)+AA17</f>
        <v>26.46</v>
      </c>
      <c r="BC17" s="1">
        <f t="shared" ref="BC17" si="19">(AB17*1.25)+AB17</f>
        <v>5.1749999999999998</v>
      </c>
    </row>
    <row r="18" spans="1:55" ht="16" x14ac:dyDescent="0.2">
      <c r="A18" s="21" t="s">
        <v>634</v>
      </c>
      <c r="B18" s="16" t="s">
        <v>1068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>
        <v>8.3000000000000007</v>
      </c>
      <c r="Y18" s="1">
        <v>7.2</v>
      </c>
      <c r="Z18" s="1">
        <v>1.2</v>
      </c>
      <c r="AA18" s="1"/>
      <c r="AB18" s="16"/>
      <c r="AC18" s="16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>
        <v>8.3000000000000007</v>
      </c>
      <c r="AZ18" s="1">
        <f>(Y18*0.15)+X18</f>
        <v>9.3800000000000008</v>
      </c>
      <c r="BA18" s="1">
        <f>(Z18*0.2)+Z18</f>
        <v>1.44</v>
      </c>
      <c r="BB18" s="1"/>
    </row>
    <row r="19" spans="1:55" ht="16" x14ac:dyDescent="0.2">
      <c r="A19" s="21" t="s">
        <v>635</v>
      </c>
      <c r="B19" s="16" t="s">
        <v>1069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>
        <v>5.0999999999999996</v>
      </c>
      <c r="Y19" s="1">
        <v>14.5</v>
      </c>
      <c r="Z19" s="1">
        <v>9.1999999999999993</v>
      </c>
      <c r="AA19" s="1">
        <v>8.6</v>
      </c>
      <c r="AB19" s="16">
        <v>3</v>
      </c>
      <c r="AC19" s="16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>
        <v>5.0999999999999996</v>
      </c>
      <c r="AZ19" s="1">
        <f t="shared" ref="AZ19:AZ20" si="20">(Y19*0.15)+X19</f>
        <v>7.2749999999999995</v>
      </c>
      <c r="BA19" s="1">
        <f>(Z19*0.2)+Z19</f>
        <v>11.04</v>
      </c>
      <c r="BB19" s="1">
        <f>(AA19*0.4)+AA19</f>
        <v>12.04</v>
      </c>
      <c r="BC19" s="1">
        <f>(AB19*0.55)+AB19</f>
        <v>4.6500000000000004</v>
      </c>
    </row>
    <row r="20" spans="1:55" ht="16" x14ac:dyDescent="0.2">
      <c r="A20" s="21" t="s">
        <v>636</v>
      </c>
      <c r="B20" s="16" t="s">
        <v>1070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>
        <v>3.1</v>
      </c>
      <c r="Y20" s="1">
        <v>1.7</v>
      </c>
      <c r="Z20" s="1">
        <v>0.1</v>
      </c>
      <c r="AA20" s="1"/>
      <c r="AB20" s="16"/>
      <c r="AC20" s="16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>
        <v>3.1</v>
      </c>
      <c r="AZ20" s="1">
        <f t="shared" si="20"/>
        <v>3.355</v>
      </c>
      <c r="BA20" s="1">
        <f>(Z20*0.2)+Z20</f>
        <v>0.12000000000000001</v>
      </c>
      <c r="BB20" s="1"/>
    </row>
    <row r="21" spans="1:55" ht="16" x14ac:dyDescent="0.2">
      <c r="A21" s="21" t="s">
        <v>1457</v>
      </c>
      <c r="B21" s="16" t="s">
        <v>1456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>
        <v>4.0999999999999996</v>
      </c>
      <c r="AB21" s="16">
        <v>4</v>
      </c>
      <c r="AC21" s="16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>
        <v>4.0999999999999996</v>
      </c>
      <c r="BC21" s="1">
        <f>(AB21*0.15)+AB21</f>
        <v>4.5999999999999996</v>
      </c>
    </row>
    <row r="22" spans="1:55" ht="16" x14ac:dyDescent="0.2">
      <c r="A22" s="21" t="s">
        <v>1346</v>
      </c>
      <c r="B22" s="16" t="s">
        <v>765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>
        <v>10.9</v>
      </c>
      <c r="AA22" s="1">
        <v>5.5</v>
      </c>
      <c r="AB22" s="16">
        <v>12.1</v>
      </c>
      <c r="AC22" s="16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>
        <v>10.9</v>
      </c>
      <c r="BB22" s="1">
        <f>(AA22*0.2)+AA22</f>
        <v>6.6</v>
      </c>
      <c r="BC22" s="1">
        <f>(AB22*0.35)+AB22</f>
        <v>16.335000000000001</v>
      </c>
    </row>
    <row r="23" spans="1:55" ht="16" x14ac:dyDescent="0.2">
      <c r="A23" s="21" t="s">
        <v>637</v>
      </c>
      <c r="B23" s="16" t="s">
        <v>1071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>
        <v>3</v>
      </c>
      <c r="Y23" s="1"/>
      <c r="Z23" s="1"/>
      <c r="AA23" s="1"/>
      <c r="AB23" s="16"/>
      <c r="AC23" s="16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>
        <v>3</v>
      </c>
      <c r="BB23" s="1"/>
    </row>
    <row r="24" spans="1:55" ht="16" x14ac:dyDescent="0.2">
      <c r="A24" s="21" t="s">
        <v>142</v>
      </c>
      <c r="B24" s="16" t="s">
        <v>1020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>
        <v>10.5</v>
      </c>
      <c r="Z24" s="1">
        <v>6.5</v>
      </c>
      <c r="AA24" s="1">
        <v>8.3000000000000007</v>
      </c>
      <c r="AB24" s="16">
        <v>15.8</v>
      </c>
      <c r="AC24" s="16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>
        <v>10.5</v>
      </c>
      <c r="BA24" s="1">
        <f>(Z24*0.05)+Z24</f>
        <v>6.8250000000000002</v>
      </c>
      <c r="BB24" s="1">
        <f>(AA24*0.25)+AA24</f>
        <v>10.375</v>
      </c>
      <c r="BC24" s="1">
        <f>(AB24*0.4)+AB24</f>
        <v>22.12</v>
      </c>
    </row>
    <row r="25" spans="1:55" ht="16" x14ac:dyDescent="0.2">
      <c r="A25" s="21" t="s">
        <v>83</v>
      </c>
      <c r="B25" s="16" t="s">
        <v>717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>
        <v>3.5</v>
      </c>
      <c r="Z25" s="1">
        <v>6.9</v>
      </c>
      <c r="AA25" s="1">
        <v>8.9</v>
      </c>
      <c r="AB25" s="16">
        <v>13.8</v>
      </c>
      <c r="AC25" s="16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>
        <v>3.5</v>
      </c>
      <c r="BA25" s="1">
        <f>(Z25*0.05)+Z25</f>
        <v>7.2450000000000001</v>
      </c>
      <c r="BB25" s="1">
        <f>(AA25*0.25)+AA25</f>
        <v>11.125</v>
      </c>
      <c r="BC25" s="1">
        <f>(AB25*0.4)+AB25</f>
        <v>19.32</v>
      </c>
    </row>
    <row r="26" spans="1:55" ht="16" x14ac:dyDescent="0.2">
      <c r="A26" s="8" t="s">
        <v>83</v>
      </c>
      <c r="B26" s="16" t="s">
        <v>698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>
        <v>4.2</v>
      </c>
      <c r="U26" s="1">
        <v>7.4</v>
      </c>
      <c r="V26" s="1">
        <v>7.3</v>
      </c>
      <c r="W26" s="1">
        <v>2.2000000000000002</v>
      </c>
      <c r="AB26" s="8"/>
      <c r="AC26" s="16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>
        <v>4.2</v>
      </c>
      <c r="AV26" s="1">
        <f t="shared" ref="AV26" si="21">(U26*0.2)+U26</f>
        <v>8.8800000000000008</v>
      </c>
      <c r="AW26" s="1">
        <f>(V26*0.4)+V26</f>
        <v>10.219999999999999</v>
      </c>
      <c r="AX26" s="1">
        <f>(W26*0.5)+W26</f>
        <v>3.3000000000000003</v>
      </c>
      <c r="AY26" s="1"/>
    </row>
    <row r="27" spans="1:55" x14ac:dyDescent="0.2">
      <c r="AC27" s="3" t="s">
        <v>14</v>
      </c>
      <c r="AD27" s="1">
        <v>97.8</v>
      </c>
      <c r="AE27" s="1">
        <f t="shared" ref="AE27:BC27" si="22">SUM(AE2:AE26)</f>
        <v>117.78</v>
      </c>
      <c r="AF27" s="1">
        <f t="shared" si="22"/>
        <v>135</v>
      </c>
      <c r="AG27" s="1">
        <f t="shared" si="22"/>
        <v>149.73000000000002</v>
      </c>
      <c r="AH27" s="1">
        <f t="shared" si="22"/>
        <v>155.58499999999998</v>
      </c>
      <c r="AI27" s="1">
        <f t="shared" si="22"/>
        <v>172.79999999999998</v>
      </c>
      <c r="AJ27" s="1">
        <f t="shared" si="22"/>
        <v>171.93</v>
      </c>
      <c r="AK27" s="1">
        <f t="shared" si="22"/>
        <v>193.39000000000001</v>
      </c>
      <c r="AL27" s="1">
        <f t="shared" si="22"/>
        <v>210.20500000000001</v>
      </c>
      <c r="AM27" s="1">
        <f t="shared" si="22"/>
        <v>215.22500000000002</v>
      </c>
      <c r="AN27" s="1">
        <f t="shared" si="22"/>
        <v>239.48000000000002</v>
      </c>
      <c r="AO27" s="1">
        <f t="shared" si="22"/>
        <v>253.02500000000001</v>
      </c>
      <c r="AP27" s="1">
        <f t="shared" si="22"/>
        <v>263.8</v>
      </c>
      <c r="AQ27" s="1">
        <f t="shared" si="22"/>
        <v>263.29499999999996</v>
      </c>
      <c r="AR27" s="1">
        <f t="shared" si="22"/>
        <v>263.5</v>
      </c>
      <c r="AS27" s="1">
        <f t="shared" si="22"/>
        <v>303.07</v>
      </c>
      <c r="AT27" s="1">
        <f t="shared" si="22"/>
        <v>319.29499999999996</v>
      </c>
      <c r="AU27" s="1">
        <f t="shared" si="22"/>
        <v>267.63500000000005</v>
      </c>
      <c r="AV27" s="1">
        <f t="shared" si="22"/>
        <v>264.81</v>
      </c>
      <c r="AW27" s="1">
        <f t="shared" si="22"/>
        <v>276.47500000000002</v>
      </c>
      <c r="AX27" s="1">
        <f t="shared" si="22"/>
        <v>255.22500000000002</v>
      </c>
      <c r="AY27" s="1">
        <f t="shared" si="22"/>
        <v>292.46500000000009</v>
      </c>
      <c r="AZ27" s="1">
        <f t="shared" si="22"/>
        <v>264.32</v>
      </c>
      <c r="BA27" s="1">
        <f t="shared" si="22"/>
        <v>263.19499999999999</v>
      </c>
      <c r="BB27" s="1">
        <f t="shared" si="22"/>
        <v>297.90500000000009</v>
      </c>
      <c r="BC27" s="1">
        <f t="shared" si="22"/>
        <v>256.55000000000007</v>
      </c>
    </row>
    <row r="28" spans="1:55" x14ac:dyDescent="0.2"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5" x14ac:dyDescent="0.2">
      <c r="AD29" s="1">
        <v>100</v>
      </c>
      <c r="AE29" s="1">
        <v>120</v>
      </c>
      <c r="AF29" s="1">
        <v>135</v>
      </c>
      <c r="AG29" s="1">
        <v>155</v>
      </c>
      <c r="AH29" s="1">
        <v>170</v>
      </c>
      <c r="AI29" s="1">
        <v>185</v>
      </c>
      <c r="AJ29" s="1">
        <v>185</v>
      </c>
      <c r="AK29" s="1">
        <v>205</v>
      </c>
      <c r="AL29" s="1">
        <v>225</v>
      </c>
      <c r="AM29" s="1">
        <v>245</v>
      </c>
      <c r="AN29" s="1">
        <v>260</v>
      </c>
      <c r="AO29" s="1">
        <v>280</v>
      </c>
      <c r="AP29" s="1">
        <v>285</v>
      </c>
      <c r="AQ29" s="1">
        <v>305</v>
      </c>
      <c r="AR29" s="1">
        <v>325</v>
      </c>
      <c r="AS29" s="1">
        <v>345</v>
      </c>
      <c r="AT29" s="1">
        <v>365</v>
      </c>
      <c r="AU29" s="1">
        <v>385</v>
      </c>
      <c r="AV29" s="1">
        <v>405</v>
      </c>
      <c r="AW29" s="1">
        <v>425</v>
      </c>
      <c r="AX29" s="1">
        <v>435</v>
      </c>
      <c r="AY29" s="1">
        <v>455</v>
      </c>
      <c r="AZ29" s="1">
        <v>470</v>
      </c>
      <c r="BA29" s="1">
        <v>475</v>
      </c>
      <c r="BB29" s="1">
        <v>495</v>
      </c>
      <c r="BC29" s="1">
        <v>510</v>
      </c>
    </row>
    <row r="31" spans="1:55" x14ac:dyDescent="0.2">
      <c r="AD31" s="1">
        <f>AD27</f>
        <v>97.8</v>
      </c>
      <c r="AE31" s="1">
        <f>SUM(AD31+AE27)</f>
        <v>215.57999999999998</v>
      </c>
      <c r="AF31" s="1">
        <f>SUM(AE31+AF27)</f>
        <v>350.58</v>
      </c>
      <c r="AG31" s="1">
        <f>SUM(AF31+AG27)</f>
        <v>500.31</v>
      </c>
      <c r="AH31" s="1">
        <f t="shared" ref="AH31:AT31" si="23">SUM(AG31+AH27)</f>
        <v>655.89499999999998</v>
      </c>
      <c r="AI31" s="1">
        <f t="shared" si="23"/>
        <v>828.69499999999994</v>
      </c>
      <c r="AJ31" s="1">
        <f t="shared" si="23"/>
        <v>1000.625</v>
      </c>
      <c r="AK31" s="1">
        <f t="shared" si="23"/>
        <v>1194.0150000000001</v>
      </c>
      <c r="AL31" s="1">
        <f t="shared" si="23"/>
        <v>1404.22</v>
      </c>
      <c r="AM31" s="1">
        <f t="shared" si="23"/>
        <v>1619.4450000000002</v>
      </c>
      <c r="AN31" s="1">
        <f t="shared" si="23"/>
        <v>1858.9250000000002</v>
      </c>
      <c r="AO31" s="1">
        <f t="shared" si="23"/>
        <v>2111.9500000000003</v>
      </c>
      <c r="AP31" s="1">
        <f t="shared" si="23"/>
        <v>2375.7500000000005</v>
      </c>
      <c r="AQ31" s="1">
        <f t="shared" si="23"/>
        <v>2639.0450000000005</v>
      </c>
      <c r="AR31" s="1">
        <f t="shared" si="23"/>
        <v>2902.5450000000005</v>
      </c>
      <c r="AS31" s="1">
        <f t="shared" si="23"/>
        <v>3205.6150000000007</v>
      </c>
      <c r="AT31" s="1">
        <f t="shared" si="23"/>
        <v>3524.9100000000008</v>
      </c>
      <c r="AU31" s="1">
        <f t="shared" ref="AU31" si="24">SUM(AT31+AU27)</f>
        <v>3792.545000000001</v>
      </c>
      <c r="AV31" s="1">
        <f t="shared" ref="AV31" si="25">SUM(AU31+AV27)</f>
        <v>4057.3550000000009</v>
      </c>
      <c r="AW31" s="1">
        <f t="shared" ref="AW31" si="26">SUM(AV31+AW27)</f>
        <v>4333.8300000000008</v>
      </c>
      <c r="AX31" s="1">
        <f t="shared" ref="AX31" si="27">SUM(AW31+AX27)</f>
        <v>4589.0550000000012</v>
      </c>
      <c r="AY31" s="1">
        <f t="shared" ref="AY31:BC31" si="28">SUM(AX31+AY27)</f>
        <v>4881.5200000000013</v>
      </c>
      <c r="AZ31" s="1">
        <f t="shared" si="28"/>
        <v>5145.8400000000011</v>
      </c>
      <c r="BA31" s="1">
        <f t="shared" si="28"/>
        <v>5409.0350000000008</v>
      </c>
      <c r="BB31" s="1">
        <f t="shared" si="28"/>
        <v>5706.9400000000005</v>
      </c>
      <c r="BC31" s="1">
        <f t="shared" si="28"/>
        <v>5963.4900000000007</v>
      </c>
    </row>
    <row r="32" spans="1:55" ht="16" x14ac:dyDescent="0.2">
      <c r="A32" s="21"/>
      <c r="B32" s="21"/>
      <c r="C32" s="16"/>
      <c r="AD32" s="3"/>
      <c r="AE32" s="3"/>
      <c r="AF32" s="3"/>
      <c r="AG32" s="3"/>
      <c r="AH32" s="1"/>
      <c r="AI32" s="3"/>
      <c r="AJ32" s="3"/>
      <c r="AK32" s="3"/>
      <c r="AL32" s="3"/>
      <c r="AM32" s="3"/>
      <c r="AN32" s="3"/>
      <c r="AO32" s="5"/>
      <c r="AP32" s="5"/>
      <c r="AQ32" s="3"/>
      <c r="AR32" s="3"/>
      <c r="AS32" s="3"/>
      <c r="AT32" s="3"/>
      <c r="AU32" s="1"/>
      <c r="AV32" s="1"/>
      <c r="AW32" s="1"/>
      <c r="AX32" s="1"/>
    </row>
    <row r="33" spans="1:55" ht="16" x14ac:dyDescent="0.2">
      <c r="A33" s="21"/>
      <c r="B33" s="21"/>
      <c r="C33" s="16"/>
      <c r="AD33" s="1">
        <v>100</v>
      </c>
      <c r="AE33" s="1">
        <f>SUM(AD33+AE29)</f>
        <v>220</v>
      </c>
      <c r="AF33" s="1">
        <f>SUM(AE33+AF29)</f>
        <v>355</v>
      </c>
      <c r="AG33" s="1">
        <f>SUM(AF33+AG29)</f>
        <v>510</v>
      </c>
      <c r="AH33" s="1">
        <f t="shared" ref="AH33:AT33" si="29">SUM(AG33+AH29)</f>
        <v>680</v>
      </c>
      <c r="AI33" s="1">
        <f t="shared" si="29"/>
        <v>865</v>
      </c>
      <c r="AJ33" s="1">
        <f t="shared" si="29"/>
        <v>1050</v>
      </c>
      <c r="AK33" s="1">
        <f t="shared" si="29"/>
        <v>1255</v>
      </c>
      <c r="AL33" s="1">
        <f t="shared" si="29"/>
        <v>1480</v>
      </c>
      <c r="AM33" s="1">
        <f t="shared" si="29"/>
        <v>1725</v>
      </c>
      <c r="AN33" s="1">
        <f t="shared" si="29"/>
        <v>1985</v>
      </c>
      <c r="AO33" s="1">
        <f t="shared" si="29"/>
        <v>2265</v>
      </c>
      <c r="AP33" s="1">
        <f t="shared" si="29"/>
        <v>2550</v>
      </c>
      <c r="AQ33" s="1">
        <f t="shared" si="29"/>
        <v>2855</v>
      </c>
      <c r="AR33" s="1">
        <f t="shared" si="29"/>
        <v>3180</v>
      </c>
      <c r="AS33" s="1">
        <f t="shared" si="29"/>
        <v>3525</v>
      </c>
      <c r="AT33" s="1">
        <f t="shared" si="29"/>
        <v>3890</v>
      </c>
      <c r="AU33" s="1">
        <f t="shared" ref="AU33" si="30">SUM(AT33+AU29)</f>
        <v>4275</v>
      </c>
      <c r="AV33" s="1">
        <f t="shared" ref="AV33" si="31">SUM(AU33+AV29)</f>
        <v>4680</v>
      </c>
      <c r="AW33" s="1">
        <f t="shared" ref="AW33" si="32">SUM(AV33+AW29)</f>
        <v>5105</v>
      </c>
      <c r="AX33" s="1">
        <f t="shared" ref="AX33" si="33">SUM(AW33+AX29)</f>
        <v>5540</v>
      </c>
      <c r="AY33" s="1">
        <f t="shared" ref="AY33:BC33" si="34">SUM(AX33+AY29)</f>
        <v>5995</v>
      </c>
      <c r="AZ33" s="1">
        <f t="shared" si="34"/>
        <v>6465</v>
      </c>
      <c r="BA33" s="1">
        <f t="shared" si="34"/>
        <v>6940</v>
      </c>
      <c r="BB33" s="1">
        <f t="shared" si="34"/>
        <v>7435</v>
      </c>
      <c r="BC33" s="1">
        <f t="shared" si="34"/>
        <v>7945</v>
      </c>
    </row>
    <row r="34" spans="1:55" ht="16" x14ac:dyDescent="0.2">
      <c r="A34" s="21"/>
      <c r="B34" s="21"/>
      <c r="C34" s="16"/>
    </row>
    <row r="35" spans="1:55" ht="16" x14ac:dyDescent="0.2">
      <c r="A35" s="21"/>
      <c r="B35" s="21"/>
      <c r="C35" s="16"/>
      <c r="AD35" s="4" t="s">
        <v>1563</v>
      </c>
      <c r="AE35" s="4" t="s">
        <v>1563</v>
      </c>
      <c r="AF35" s="4" t="s">
        <v>1563</v>
      </c>
      <c r="AG35" s="4" t="s">
        <v>1563</v>
      </c>
      <c r="AH35" s="4" t="s">
        <v>1563</v>
      </c>
      <c r="AI35" s="4" t="s">
        <v>1563</v>
      </c>
      <c r="AJ35" s="4" t="s">
        <v>1563</v>
      </c>
      <c r="AK35" s="4" t="s">
        <v>1563</v>
      </c>
      <c r="AL35" s="4" t="s">
        <v>1563</v>
      </c>
      <c r="AM35" s="4" t="s">
        <v>1563</v>
      </c>
      <c r="AN35" s="4" t="s">
        <v>1563</v>
      </c>
      <c r="AO35" s="4" t="s">
        <v>1563</v>
      </c>
      <c r="AP35" s="4" t="s">
        <v>1563</v>
      </c>
      <c r="AQ35" s="4" t="s">
        <v>1563</v>
      </c>
      <c r="AR35" s="4" t="s">
        <v>1563</v>
      </c>
      <c r="AS35" s="4" t="s">
        <v>1563</v>
      </c>
      <c r="AT35" s="4" t="s">
        <v>1563</v>
      </c>
      <c r="AU35" s="4" t="s">
        <v>1563</v>
      </c>
      <c r="AV35" s="4" t="s">
        <v>1563</v>
      </c>
      <c r="AW35" s="4" t="s">
        <v>1563</v>
      </c>
      <c r="AX35" s="4" t="s">
        <v>1563</v>
      </c>
      <c r="AY35" s="4" t="s">
        <v>1563</v>
      </c>
      <c r="AZ35" s="4" t="s">
        <v>1563</v>
      </c>
      <c r="BA35" s="4" t="s">
        <v>1563</v>
      </c>
      <c r="BB35" s="4" t="s">
        <v>1563</v>
      </c>
      <c r="BC35" s="4" t="s">
        <v>1563</v>
      </c>
    </row>
    <row r="36" spans="1:55" ht="16" x14ac:dyDescent="0.2">
      <c r="A36" s="21"/>
      <c r="B36" s="21"/>
      <c r="C36" s="16"/>
      <c r="AD36" s="6">
        <f>(AD31/AD33)*100</f>
        <v>97.8</v>
      </c>
      <c r="AE36" s="6">
        <f>(AE31/AE33)*100</f>
        <v>97.990909090909085</v>
      </c>
      <c r="AF36" s="6">
        <f>(AF31/AF33)*100</f>
        <v>98.754929577464793</v>
      </c>
      <c r="AG36" s="6">
        <f>(AG31/AG33)*100</f>
        <v>98.1</v>
      </c>
      <c r="AH36" s="6">
        <f>(AH31/AH33)*100</f>
        <v>96.455147058823528</v>
      </c>
      <c r="AI36" s="6">
        <f t="shared" ref="AI36:BC36" si="35">(AI31/AI33)*100</f>
        <v>95.80289017341039</v>
      </c>
      <c r="AJ36" s="6">
        <f t="shared" si="35"/>
        <v>95.297619047619037</v>
      </c>
      <c r="AK36" s="6">
        <f t="shared" si="35"/>
        <v>95.140637450199208</v>
      </c>
      <c r="AL36" s="6">
        <f t="shared" si="35"/>
        <v>94.879729729729732</v>
      </c>
      <c r="AM36" s="6">
        <f t="shared" si="35"/>
        <v>93.880869565217409</v>
      </c>
      <c r="AN36" s="6">
        <f t="shared" si="35"/>
        <v>93.648614609571794</v>
      </c>
      <c r="AO36" s="6">
        <f t="shared" si="35"/>
        <v>93.242825607064034</v>
      </c>
      <c r="AP36" s="6">
        <f t="shared" si="35"/>
        <v>93.166666666666686</v>
      </c>
      <c r="AQ36" s="6">
        <f t="shared" si="35"/>
        <v>92.435901926444856</v>
      </c>
      <c r="AR36" s="6">
        <f t="shared" si="35"/>
        <v>91.27500000000002</v>
      </c>
      <c r="AS36" s="6">
        <f t="shared" si="35"/>
        <v>90.939432624113493</v>
      </c>
      <c r="AT36" s="6">
        <f t="shared" si="35"/>
        <v>90.614652956298229</v>
      </c>
      <c r="AU36" s="6">
        <f t="shared" si="35"/>
        <v>88.714502923976639</v>
      </c>
      <c r="AV36" s="6">
        <f t="shared" si="35"/>
        <v>86.695619658119682</v>
      </c>
      <c r="AW36" s="6">
        <f t="shared" si="35"/>
        <v>84.893829578844276</v>
      </c>
      <c r="AX36" s="6">
        <f t="shared" si="35"/>
        <v>82.834927797833956</v>
      </c>
      <c r="AY36" s="6">
        <f t="shared" si="35"/>
        <v>81.426522101751488</v>
      </c>
      <c r="AZ36" s="6">
        <f t="shared" si="35"/>
        <v>79.595359628770311</v>
      </c>
      <c r="BA36" s="6">
        <f t="shared" si="35"/>
        <v>77.939985590778107</v>
      </c>
      <c r="BB36" s="6">
        <f t="shared" si="35"/>
        <v>76.757767316745131</v>
      </c>
      <c r="BC36" s="6">
        <f t="shared" si="35"/>
        <v>75.059660163624926</v>
      </c>
    </row>
    <row r="37" spans="1:55" ht="16" x14ac:dyDescent="0.2">
      <c r="A37" s="21"/>
      <c r="B37" s="21"/>
      <c r="C37" s="16"/>
    </row>
    <row r="38" spans="1:55" ht="16" x14ac:dyDescent="0.2">
      <c r="A38" s="21"/>
      <c r="B38" s="21"/>
      <c r="C38" s="16"/>
    </row>
    <row r="39" spans="1:55" ht="16" x14ac:dyDescent="0.2">
      <c r="A39" s="21"/>
      <c r="B39" s="21"/>
      <c r="C39" s="16"/>
    </row>
    <row r="40" spans="1:55" ht="16" x14ac:dyDescent="0.2">
      <c r="A40" s="21"/>
      <c r="B40" s="21"/>
      <c r="C40" s="16"/>
    </row>
    <row r="41" spans="1:55" ht="16" x14ac:dyDescent="0.2">
      <c r="A41" s="21"/>
      <c r="B41" s="21"/>
      <c r="C41" s="16"/>
    </row>
    <row r="42" spans="1:55" ht="16" x14ac:dyDescent="0.2">
      <c r="A42" s="21"/>
      <c r="B42" s="21"/>
      <c r="C42" s="16"/>
    </row>
    <row r="43" spans="1:55" ht="16" x14ac:dyDescent="0.2">
      <c r="A43" s="21"/>
      <c r="B43" s="21"/>
      <c r="C43" s="16"/>
    </row>
    <row r="44" spans="1:55" ht="16" x14ac:dyDescent="0.2">
      <c r="A44" s="21"/>
      <c r="B44" s="21"/>
      <c r="C44" s="16"/>
    </row>
    <row r="45" spans="1:55" ht="16" x14ac:dyDescent="0.2">
      <c r="A45" s="21"/>
      <c r="B45" s="21"/>
      <c r="C45" s="16"/>
    </row>
    <row r="46" spans="1:55" ht="16" x14ac:dyDescent="0.2">
      <c r="A46" s="21"/>
      <c r="B46" s="21"/>
      <c r="C46" s="16"/>
    </row>
    <row r="47" spans="1:55" ht="16" x14ac:dyDescent="0.2">
      <c r="A47" s="21"/>
      <c r="B47" s="21"/>
      <c r="C47" s="16"/>
    </row>
    <row r="48" spans="1:55" ht="16" x14ac:dyDescent="0.2">
      <c r="A48" s="21"/>
      <c r="B48" s="21"/>
      <c r="C48" s="16"/>
    </row>
    <row r="49" spans="1:3" ht="16" x14ac:dyDescent="0.2">
      <c r="A49" s="21"/>
      <c r="B49" s="21"/>
      <c r="C49" s="16"/>
    </row>
    <row r="50" spans="1:3" ht="16" x14ac:dyDescent="0.2">
      <c r="A50" s="21"/>
      <c r="B50" s="21"/>
      <c r="C50" s="16"/>
    </row>
    <row r="51" spans="1:3" ht="16" x14ac:dyDescent="0.2">
      <c r="A51" s="21"/>
      <c r="B51" s="21"/>
      <c r="C51" s="16"/>
    </row>
    <row r="52" spans="1:3" ht="16" x14ac:dyDescent="0.2">
      <c r="A52" s="21"/>
      <c r="B52" s="21"/>
      <c r="C52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25E8-08D1-7F40-B345-85E69E6748E8}">
  <dimension ref="A1:F45"/>
  <sheetViews>
    <sheetView workbookViewId="0">
      <selection activeCell="E16" sqref="E16:F16"/>
    </sheetView>
  </sheetViews>
  <sheetFormatPr baseColWidth="10" defaultRowHeight="15" x14ac:dyDescent="0.2"/>
  <sheetData>
    <row r="1" spans="1:6" x14ac:dyDescent="0.2">
      <c r="A1" s="3" t="s">
        <v>15</v>
      </c>
      <c r="B1" s="3">
        <v>2018</v>
      </c>
      <c r="C1" s="3">
        <v>2021</v>
      </c>
      <c r="E1" s="3">
        <v>2018</v>
      </c>
      <c r="F1" s="3">
        <v>2021</v>
      </c>
    </row>
    <row r="2" spans="1:6" ht="16" x14ac:dyDescent="0.2">
      <c r="A2" s="15" t="s">
        <v>1446</v>
      </c>
      <c r="B2" s="1">
        <v>70.400000000000006</v>
      </c>
      <c r="C2" s="1">
        <v>54</v>
      </c>
      <c r="E2" s="1">
        <v>70.400000000000006</v>
      </c>
      <c r="F2" s="1">
        <f>(C2*0.15)+C2</f>
        <v>62.1</v>
      </c>
    </row>
    <row r="3" spans="1:6" ht="16" x14ac:dyDescent="0.2">
      <c r="A3" s="15" t="s">
        <v>1447</v>
      </c>
      <c r="B3" s="1">
        <v>8.3000000000000007</v>
      </c>
      <c r="C3" s="1">
        <v>4</v>
      </c>
      <c r="E3" s="1">
        <v>8.3000000000000007</v>
      </c>
      <c r="F3" s="1">
        <f t="shared" ref="F3:F7" si="0">(C3*0.15)+C3</f>
        <v>4.5999999999999996</v>
      </c>
    </row>
    <row r="4" spans="1:6" ht="16" x14ac:dyDescent="0.2">
      <c r="A4" s="15" t="s">
        <v>1448</v>
      </c>
      <c r="B4" s="1">
        <v>6.4</v>
      </c>
      <c r="C4" s="1">
        <v>1.2</v>
      </c>
      <c r="E4" s="1">
        <v>6.4</v>
      </c>
      <c r="F4" s="1">
        <f t="shared" si="0"/>
        <v>1.38</v>
      </c>
    </row>
    <row r="5" spans="1:6" ht="16" x14ac:dyDescent="0.2">
      <c r="A5" s="15" t="s">
        <v>1449</v>
      </c>
      <c r="B5" s="1">
        <v>4.7</v>
      </c>
      <c r="C5" s="1">
        <v>5.2</v>
      </c>
      <c r="E5" s="1">
        <v>4.7</v>
      </c>
      <c r="F5" s="1">
        <f t="shared" si="0"/>
        <v>5.98</v>
      </c>
    </row>
    <row r="6" spans="1:6" ht="16" x14ac:dyDescent="0.2">
      <c r="A6" s="15" t="s">
        <v>252</v>
      </c>
      <c r="B6" s="1">
        <v>2</v>
      </c>
      <c r="C6" s="1">
        <v>3</v>
      </c>
      <c r="E6" s="1">
        <v>2</v>
      </c>
      <c r="F6" s="1">
        <f t="shared" si="0"/>
        <v>3.45</v>
      </c>
    </row>
    <row r="7" spans="1:6" ht="16" x14ac:dyDescent="0.2">
      <c r="A7" s="15" t="s">
        <v>1450</v>
      </c>
      <c r="B7" s="1">
        <v>3.9</v>
      </c>
      <c r="C7" s="1">
        <v>21.1</v>
      </c>
      <c r="E7" s="1">
        <v>3.9</v>
      </c>
      <c r="F7" s="1">
        <f t="shared" si="0"/>
        <v>24.265000000000001</v>
      </c>
    </row>
    <row r="8" spans="1:6" x14ac:dyDescent="0.2">
      <c r="D8" s="3" t="s">
        <v>14</v>
      </c>
      <c r="E8" s="6">
        <f>SUM(E2:E7)</f>
        <v>95.700000000000017</v>
      </c>
      <c r="F8" s="6">
        <f>SUM(F2:F7)</f>
        <v>101.77500000000001</v>
      </c>
    </row>
    <row r="9" spans="1:6" x14ac:dyDescent="0.2">
      <c r="F9" s="4"/>
    </row>
    <row r="10" spans="1:6" x14ac:dyDescent="0.2">
      <c r="E10" s="1">
        <v>100</v>
      </c>
      <c r="F10" s="1">
        <v>120</v>
      </c>
    </row>
    <row r="11" spans="1:6" x14ac:dyDescent="0.2">
      <c r="F11" s="4"/>
    </row>
    <row r="12" spans="1:6" x14ac:dyDescent="0.2">
      <c r="E12" s="6">
        <f>E8</f>
        <v>95.700000000000017</v>
      </c>
      <c r="F12" s="1">
        <f>SUM(E12+F8)</f>
        <v>197.47500000000002</v>
      </c>
    </row>
    <row r="13" spans="1:6" x14ac:dyDescent="0.2">
      <c r="E13" s="3"/>
      <c r="F13" s="4"/>
    </row>
    <row r="14" spans="1:6" x14ac:dyDescent="0.2">
      <c r="E14" s="1">
        <v>100</v>
      </c>
      <c r="F14" s="1">
        <f>SUM(E14+F10)</f>
        <v>220</v>
      </c>
    </row>
    <row r="15" spans="1:6" x14ac:dyDescent="0.2">
      <c r="F15" s="4"/>
    </row>
    <row r="16" spans="1:6" x14ac:dyDescent="0.2">
      <c r="E16" s="4" t="s">
        <v>1563</v>
      </c>
      <c r="F16" s="4" t="s">
        <v>1563</v>
      </c>
    </row>
    <row r="17" spans="5:6" x14ac:dyDescent="0.2">
      <c r="E17" s="6">
        <f>(E12/E14)*100</f>
        <v>95.700000000000017</v>
      </c>
      <c r="F17" s="6">
        <f>(F12/F14)*100</f>
        <v>89.76136363636364</v>
      </c>
    </row>
    <row r="33" spans="1:1" ht="16" x14ac:dyDescent="0.2">
      <c r="A33" s="15"/>
    </row>
    <row r="34" spans="1:1" ht="16" x14ac:dyDescent="0.2">
      <c r="A34" s="15"/>
    </row>
    <row r="35" spans="1:1" ht="16" x14ac:dyDescent="0.2">
      <c r="A35" s="15"/>
    </row>
    <row r="36" spans="1:1" ht="16" x14ac:dyDescent="0.2">
      <c r="A36" s="15"/>
    </row>
    <row r="37" spans="1:1" ht="16" x14ac:dyDescent="0.2">
      <c r="A37" s="15"/>
    </row>
    <row r="38" spans="1:1" ht="16" x14ac:dyDescent="0.2">
      <c r="A38" s="15"/>
    </row>
    <row r="39" spans="1:1" ht="16" x14ac:dyDescent="0.2">
      <c r="A39" s="15"/>
    </row>
    <row r="40" spans="1:1" ht="16" x14ac:dyDescent="0.2">
      <c r="A40" s="15"/>
    </row>
    <row r="41" spans="1:1" ht="16" x14ac:dyDescent="0.2">
      <c r="A41" s="15"/>
    </row>
    <row r="42" spans="1:1" ht="16" x14ac:dyDescent="0.2">
      <c r="A42" s="15"/>
    </row>
    <row r="43" spans="1:1" ht="16" x14ac:dyDescent="0.2">
      <c r="A43" s="15"/>
    </row>
    <row r="44" spans="1:1" ht="16" x14ac:dyDescent="0.2">
      <c r="A44" s="15"/>
    </row>
    <row r="45" spans="1:1" ht="16" x14ac:dyDescent="0.2">
      <c r="A45" s="15"/>
    </row>
  </sheetData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M35"/>
  <sheetViews>
    <sheetView topLeftCell="Y1" workbookViewId="0">
      <selection activeCell="AI27" sqref="AI27:BM27"/>
    </sheetView>
  </sheetViews>
  <sheetFormatPr baseColWidth="10" defaultRowHeight="15" x14ac:dyDescent="0.2"/>
  <cols>
    <col min="2" max="2" width="37.6640625" customWidth="1"/>
  </cols>
  <sheetData>
    <row r="1" spans="1:65" ht="16" x14ac:dyDescent="0.2">
      <c r="A1" s="3" t="s">
        <v>15</v>
      </c>
      <c r="B1" s="24" t="s">
        <v>681</v>
      </c>
      <c r="C1" s="3">
        <v>1923</v>
      </c>
      <c r="D1" s="3" t="s">
        <v>278</v>
      </c>
      <c r="E1" s="3" t="s">
        <v>279</v>
      </c>
      <c r="F1" s="3">
        <v>1932</v>
      </c>
      <c r="G1" s="3">
        <v>1933</v>
      </c>
      <c r="H1" s="3">
        <v>1937</v>
      </c>
      <c r="I1" s="3">
        <v>1938</v>
      </c>
      <c r="J1" s="3">
        <v>1943</v>
      </c>
      <c r="K1" s="3">
        <v>1944</v>
      </c>
      <c r="L1" s="3">
        <v>1948</v>
      </c>
      <c r="M1" s="3">
        <v>1951</v>
      </c>
      <c r="N1" s="3">
        <v>1954</v>
      </c>
      <c r="O1" s="3">
        <v>1957</v>
      </c>
      <c r="P1" s="3">
        <v>1961</v>
      </c>
      <c r="Q1" s="3">
        <v>1965</v>
      </c>
      <c r="R1" s="3">
        <v>1969</v>
      </c>
      <c r="S1" s="3">
        <v>1973</v>
      </c>
      <c r="T1" s="3">
        <v>1977</v>
      </c>
      <c r="U1" s="3">
        <v>1981</v>
      </c>
      <c r="V1" s="3" t="s">
        <v>280</v>
      </c>
      <c r="W1" s="3" t="s">
        <v>281</v>
      </c>
      <c r="X1" s="3">
        <v>1987</v>
      </c>
      <c r="Y1" s="3">
        <v>1989</v>
      </c>
      <c r="Z1" s="3">
        <v>1992</v>
      </c>
      <c r="AA1" s="3">
        <v>1997</v>
      </c>
      <c r="AB1" s="3">
        <v>2002</v>
      </c>
      <c r="AC1" s="3">
        <v>2007</v>
      </c>
      <c r="AD1" s="3">
        <v>2011</v>
      </c>
      <c r="AE1" s="3">
        <v>2016</v>
      </c>
      <c r="AF1" s="3">
        <v>2020</v>
      </c>
      <c r="AG1" s="3">
        <v>2024</v>
      </c>
      <c r="AH1" s="3"/>
      <c r="AI1" s="3">
        <v>1923</v>
      </c>
      <c r="AJ1" s="3" t="s">
        <v>278</v>
      </c>
      <c r="AK1" s="3" t="s">
        <v>279</v>
      </c>
      <c r="AL1" s="3">
        <v>1932</v>
      </c>
      <c r="AM1" s="3">
        <v>1933</v>
      </c>
      <c r="AN1" s="3">
        <v>1937</v>
      </c>
      <c r="AO1" s="3">
        <v>1938</v>
      </c>
      <c r="AP1" s="3">
        <v>1943</v>
      </c>
      <c r="AQ1" s="3">
        <v>1944</v>
      </c>
      <c r="AR1" s="3">
        <v>1948</v>
      </c>
      <c r="AS1" s="3">
        <v>1951</v>
      </c>
      <c r="AT1" s="3">
        <v>1954</v>
      </c>
      <c r="AU1" s="3">
        <v>1957</v>
      </c>
      <c r="AV1" s="3">
        <v>1961</v>
      </c>
      <c r="AW1" s="3">
        <v>1965</v>
      </c>
      <c r="AX1" s="3">
        <v>1969</v>
      </c>
      <c r="AY1" s="3">
        <v>1973</v>
      </c>
      <c r="AZ1" s="3">
        <v>1977</v>
      </c>
      <c r="BA1" s="3">
        <v>1981</v>
      </c>
      <c r="BB1" s="3" t="s">
        <v>280</v>
      </c>
      <c r="BC1" s="3" t="s">
        <v>281</v>
      </c>
      <c r="BD1" s="3">
        <v>1987</v>
      </c>
      <c r="BE1" s="3">
        <v>1989</v>
      </c>
      <c r="BF1" s="3">
        <v>1992</v>
      </c>
      <c r="BG1" s="3">
        <v>1997</v>
      </c>
      <c r="BH1" s="3">
        <v>2002</v>
      </c>
      <c r="BI1" s="3">
        <v>2007</v>
      </c>
      <c r="BJ1" s="3">
        <v>2011</v>
      </c>
      <c r="BK1" s="3">
        <v>2016</v>
      </c>
      <c r="BL1" s="3">
        <v>2020</v>
      </c>
      <c r="BM1" s="3">
        <v>2024</v>
      </c>
    </row>
    <row r="2" spans="1:65" ht="16" x14ac:dyDescent="0.2">
      <c r="A2" s="8" t="s">
        <v>643</v>
      </c>
      <c r="B2" s="16" t="s">
        <v>1042</v>
      </c>
      <c r="C2" s="1">
        <v>39</v>
      </c>
      <c r="D2" s="1">
        <v>27.4</v>
      </c>
      <c r="E2" s="1">
        <v>38.700000000000003</v>
      </c>
      <c r="F2" s="1">
        <v>35.299999999999997</v>
      </c>
      <c r="G2" s="1">
        <v>30.5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6"/>
      <c r="AI2" s="1">
        <v>39</v>
      </c>
      <c r="AJ2" s="1">
        <f>(D2*0.2)+D2</f>
        <v>32.879999999999995</v>
      </c>
      <c r="AK2" s="1">
        <f>(E2*0.2)+E2</f>
        <v>46.440000000000005</v>
      </c>
      <c r="AL2" s="1">
        <f>(F2*0.45)+F2</f>
        <v>51.184999999999995</v>
      </c>
      <c r="AM2" s="1">
        <f>(G2*0.5)+G2</f>
        <v>45.75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5" ht="16" x14ac:dyDescent="0.2">
      <c r="A3" s="8" t="s">
        <v>282</v>
      </c>
      <c r="B3" s="16" t="s">
        <v>697</v>
      </c>
      <c r="C3" s="1">
        <v>10.6</v>
      </c>
      <c r="D3" s="1">
        <v>12.6</v>
      </c>
      <c r="E3" s="1">
        <v>9.1</v>
      </c>
      <c r="F3" s="1">
        <v>7.7</v>
      </c>
      <c r="G3" s="1">
        <v>5.7</v>
      </c>
      <c r="H3" s="1">
        <v>10.3</v>
      </c>
      <c r="I3" s="1">
        <v>10</v>
      </c>
      <c r="J3" s="1">
        <v>15.7</v>
      </c>
      <c r="K3" s="1">
        <v>8.8000000000000007</v>
      </c>
      <c r="L3" s="1">
        <v>8.6999999999999993</v>
      </c>
      <c r="M3" s="1">
        <v>11.4</v>
      </c>
      <c r="N3" s="1">
        <v>12.1</v>
      </c>
      <c r="O3" s="1">
        <v>9.1</v>
      </c>
      <c r="P3" s="1">
        <v>11.6</v>
      </c>
      <c r="Q3" s="1">
        <v>15.4</v>
      </c>
      <c r="R3" s="1">
        <v>17</v>
      </c>
      <c r="S3" s="1">
        <v>13.7</v>
      </c>
      <c r="T3" s="1">
        <v>11.6</v>
      </c>
      <c r="U3" s="1">
        <v>9.9</v>
      </c>
      <c r="V3" s="1">
        <v>9.1</v>
      </c>
      <c r="W3" s="1">
        <v>9.4</v>
      </c>
      <c r="X3" s="1">
        <v>6.4</v>
      </c>
      <c r="Y3" s="1">
        <v>9.5</v>
      </c>
      <c r="Z3" s="1">
        <v>19.3</v>
      </c>
      <c r="AA3" s="1">
        <v>10.4</v>
      </c>
      <c r="AB3" s="1">
        <v>10.8</v>
      </c>
      <c r="AC3" s="1">
        <v>10.1</v>
      </c>
      <c r="AD3" s="1">
        <v>19.5</v>
      </c>
      <c r="AE3" s="1">
        <v>6.6</v>
      </c>
      <c r="AF3" s="1">
        <v>4.4000000000000004</v>
      </c>
      <c r="AG3" s="1">
        <v>4.7</v>
      </c>
      <c r="AH3" s="16"/>
      <c r="AI3" s="1">
        <v>10.6</v>
      </c>
      <c r="AJ3" s="1">
        <f>(D3*0.2)+D3</f>
        <v>15.12</v>
      </c>
      <c r="AK3" s="1">
        <f t="shared" ref="AK3:AK6" si="0">(E3*0.2)+E3</f>
        <v>10.92</v>
      </c>
      <c r="AL3" s="1">
        <f t="shared" ref="AL3:AL5" si="1">(F3*0.45)+F3</f>
        <v>11.165000000000001</v>
      </c>
      <c r="AM3" s="1">
        <f t="shared" ref="AM3:AM5" si="2">(G3*0.5)+G3</f>
        <v>8.5500000000000007</v>
      </c>
      <c r="AN3" s="1">
        <f>(H3*0.7)+H3</f>
        <v>17.510000000000002</v>
      </c>
      <c r="AO3" s="1">
        <f>(I3*0.75)+I3</f>
        <v>17.5</v>
      </c>
      <c r="AP3" s="1">
        <f>(J3*1)+J3</f>
        <v>31.4</v>
      </c>
      <c r="AQ3" s="1">
        <f>(K3*1.05)+K3</f>
        <v>18.040000000000003</v>
      </c>
      <c r="AR3" s="1">
        <f>(L3*1.25)+L3</f>
        <v>19.574999999999999</v>
      </c>
      <c r="AS3" s="1">
        <f>(M3*1.4)+M3</f>
        <v>27.36</v>
      </c>
      <c r="AT3" s="1">
        <f>(N3*1.55)+N3</f>
        <v>30.854999999999997</v>
      </c>
      <c r="AU3" s="1">
        <f>(O3*1.7)+O3</f>
        <v>24.57</v>
      </c>
      <c r="AV3" s="1">
        <f>(P3*1.9)+P3</f>
        <v>33.64</v>
      </c>
      <c r="AW3" s="1">
        <f>(Q3*2.1)+Q3</f>
        <v>47.74</v>
      </c>
      <c r="AX3" s="1">
        <f>(R3*2.3)+R3</f>
        <v>56.099999999999994</v>
      </c>
      <c r="AY3" s="1">
        <f>(S3*2.5)+S3</f>
        <v>47.95</v>
      </c>
      <c r="AZ3" s="1">
        <f>(T3*2.7)+T3</f>
        <v>42.92</v>
      </c>
      <c r="BA3" s="1">
        <f>(U3*2.9)+U3</f>
        <v>38.61</v>
      </c>
      <c r="BB3" s="1">
        <f>(V3*2.95)+V3</f>
        <v>35.945</v>
      </c>
      <c r="BC3" s="1">
        <f>(W3*2.95)+W3</f>
        <v>37.130000000000003</v>
      </c>
      <c r="BD3" s="1">
        <f>(X3*3.2)+X3</f>
        <v>26.880000000000003</v>
      </c>
      <c r="BE3" s="1">
        <f>(Y3*3.3)+Y3</f>
        <v>40.849999999999994</v>
      </c>
      <c r="BF3" s="1">
        <f>(Z3*3.45)+Z3</f>
        <v>85.885000000000005</v>
      </c>
      <c r="BG3" s="1">
        <f>(AA3*3.7)+AA3</f>
        <v>48.88</v>
      </c>
      <c r="BH3" s="1">
        <f>(AB3*3.95)+AB3</f>
        <v>53.460000000000008</v>
      </c>
      <c r="BI3" s="1">
        <f>(AC3*4.2)+AC3</f>
        <v>52.52</v>
      </c>
      <c r="BJ3" s="1">
        <f>(AD3*4.4)+AD3</f>
        <v>105.30000000000001</v>
      </c>
      <c r="BK3" s="1">
        <f>(AE3*4.65)+AE3</f>
        <v>37.29</v>
      </c>
      <c r="BL3" s="1">
        <f>(AF3*4.85)+AF3</f>
        <v>25.740000000000002</v>
      </c>
      <c r="BM3" s="1">
        <f>(AG3*5.05)+AG3</f>
        <v>28.434999999999999</v>
      </c>
    </row>
    <row r="4" spans="1:65" ht="16" x14ac:dyDescent="0.2">
      <c r="A4" s="8" t="s">
        <v>250</v>
      </c>
      <c r="B4" s="16" t="s">
        <v>915</v>
      </c>
      <c r="C4" s="1">
        <v>12.1</v>
      </c>
      <c r="D4" s="1">
        <v>8.9</v>
      </c>
      <c r="E4" s="1">
        <v>6.4</v>
      </c>
      <c r="F4" s="1">
        <v>1.8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6"/>
      <c r="AI4" s="1">
        <v>12.1</v>
      </c>
      <c r="AJ4" s="1">
        <f>(D4*0.2)+D4</f>
        <v>10.68</v>
      </c>
      <c r="AK4" s="1">
        <f t="shared" si="0"/>
        <v>7.6800000000000006</v>
      </c>
      <c r="AL4" s="1">
        <f t="shared" si="1"/>
        <v>2.6100000000000003</v>
      </c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M4" s="1"/>
    </row>
    <row r="5" spans="1:65" ht="16" x14ac:dyDescent="0.2">
      <c r="A5" s="8" t="s">
        <v>83</v>
      </c>
      <c r="B5" s="16" t="s">
        <v>1043</v>
      </c>
      <c r="C5" s="1"/>
      <c r="D5" s="1">
        <v>26.2</v>
      </c>
      <c r="E5" s="1">
        <v>35.200000000000003</v>
      </c>
      <c r="F5" s="1">
        <v>44.5</v>
      </c>
      <c r="G5" s="1">
        <v>49.7</v>
      </c>
      <c r="H5" s="1">
        <v>45.2</v>
      </c>
      <c r="I5" s="1">
        <v>51.9</v>
      </c>
      <c r="J5" s="1">
        <v>41.9</v>
      </c>
      <c r="K5" s="1">
        <v>48.9</v>
      </c>
      <c r="L5" s="1">
        <v>41.9</v>
      </c>
      <c r="M5" s="1">
        <v>46.3</v>
      </c>
      <c r="N5" s="1">
        <v>43.4</v>
      </c>
      <c r="O5" s="1">
        <v>48.3</v>
      </c>
      <c r="P5" s="1">
        <v>43.8</v>
      </c>
      <c r="Q5" s="1">
        <v>47.7</v>
      </c>
      <c r="R5" s="1">
        <v>45.7</v>
      </c>
      <c r="S5" s="1">
        <v>46.2</v>
      </c>
      <c r="T5" s="1">
        <v>50.6</v>
      </c>
      <c r="U5" s="1">
        <v>45.3</v>
      </c>
      <c r="V5" s="1">
        <v>47.3</v>
      </c>
      <c r="W5" s="1">
        <v>45.2</v>
      </c>
      <c r="X5" s="1">
        <v>44.1</v>
      </c>
      <c r="Y5" s="1">
        <v>44.1</v>
      </c>
      <c r="Z5" s="1">
        <v>39.1</v>
      </c>
      <c r="AA5" s="1">
        <v>39.299999999999997</v>
      </c>
      <c r="AB5" s="1">
        <v>41.5</v>
      </c>
      <c r="AC5" s="1">
        <v>41.6</v>
      </c>
      <c r="AD5" s="1">
        <v>17.5</v>
      </c>
      <c r="AE5" s="1">
        <v>24.3</v>
      </c>
      <c r="AF5" s="1">
        <v>22.2</v>
      </c>
      <c r="AG5" s="1">
        <v>21.9</v>
      </c>
      <c r="AH5" s="16"/>
      <c r="AI5" s="1"/>
      <c r="AJ5" s="1">
        <v>26.2</v>
      </c>
      <c r="AK5" s="1">
        <f t="shared" si="0"/>
        <v>42.24</v>
      </c>
      <c r="AL5" s="1">
        <f t="shared" si="1"/>
        <v>64.525000000000006</v>
      </c>
      <c r="AM5" s="1">
        <f t="shared" si="2"/>
        <v>74.550000000000011</v>
      </c>
      <c r="AN5" s="1">
        <f t="shared" ref="AN5" si="3">(H5*0.7)+H5</f>
        <v>76.84</v>
      </c>
      <c r="AO5" s="1">
        <f t="shared" ref="AO5" si="4">(I5*0.75)+I5</f>
        <v>90.824999999999989</v>
      </c>
      <c r="AP5" s="1">
        <f t="shared" ref="AP5" si="5">(J5*1)+J5</f>
        <v>83.8</v>
      </c>
      <c r="AQ5" s="1">
        <f t="shared" ref="AQ5" si="6">(K5*1.05)+K5</f>
        <v>100.245</v>
      </c>
      <c r="AR5" s="1">
        <f t="shared" ref="AR5" si="7">(L5*1.25)+L5</f>
        <v>94.275000000000006</v>
      </c>
      <c r="AS5" s="1">
        <f t="shared" ref="AS5" si="8">(M5*1.4)+M5</f>
        <v>111.11999999999999</v>
      </c>
      <c r="AT5" s="1">
        <f t="shared" ref="AT5" si="9">(N5*1.55)+N5</f>
        <v>110.66999999999999</v>
      </c>
      <c r="AU5" s="1">
        <f t="shared" ref="AU5" si="10">(O5*1.7)+O5</f>
        <v>130.41</v>
      </c>
      <c r="AV5" s="1">
        <f t="shared" ref="AV5" si="11">(P5*1.9)+P5</f>
        <v>127.01999999999998</v>
      </c>
      <c r="AW5" s="1">
        <f t="shared" ref="AW5" si="12">(Q5*2.1)+Q5</f>
        <v>147.87</v>
      </c>
      <c r="AX5" s="1">
        <f t="shared" ref="AX5" si="13">(R5*2.3)+R5</f>
        <v>150.81</v>
      </c>
      <c r="AY5" s="1">
        <f t="shared" ref="AY5" si="14">(S5*2.5)+S5</f>
        <v>161.69999999999999</v>
      </c>
      <c r="AZ5" s="1">
        <f t="shared" ref="AZ5" si="15">(T5*2.7)+T5</f>
        <v>187.22</v>
      </c>
      <c r="BA5" s="1">
        <f t="shared" ref="BA5" si="16">(U5*2.9)+U5</f>
        <v>176.66999999999996</v>
      </c>
      <c r="BB5" s="1">
        <f t="shared" ref="BB5" si="17">(V5*2.95)+V5</f>
        <v>186.83499999999998</v>
      </c>
      <c r="BC5" s="1">
        <f t="shared" ref="BC5" si="18">(W5*2.95)+W5</f>
        <v>178.54000000000002</v>
      </c>
      <c r="BD5" s="1">
        <f t="shared" ref="BD5" si="19">(X5*3.2)+X5</f>
        <v>185.22</v>
      </c>
      <c r="BE5" s="1">
        <f t="shared" ref="BE5" si="20">(Y5*3.3)+Y5</f>
        <v>189.63</v>
      </c>
      <c r="BF5" s="1">
        <f t="shared" ref="BF5" si="21">(Z5*3.45)+Z5</f>
        <v>173.995</v>
      </c>
      <c r="BG5" s="1">
        <f t="shared" ref="BG5" si="22">(AA5*3.7)+AA5</f>
        <v>184.70999999999998</v>
      </c>
      <c r="BH5" s="1">
        <f t="shared" ref="BH5" si="23">(AB5*3.95)+AB5</f>
        <v>205.42500000000001</v>
      </c>
      <c r="BI5" s="1">
        <f t="shared" ref="BI5" si="24">(AC5*4.2)+AC5</f>
        <v>216.32000000000002</v>
      </c>
      <c r="BJ5" s="1">
        <f t="shared" ref="BJ5" si="25">(AD5*4.4)+AD5</f>
        <v>94.5</v>
      </c>
      <c r="BK5" s="1">
        <f t="shared" ref="BK5" si="26">(AE5*4.65)+AE5</f>
        <v>137.29500000000002</v>
      </c>
      <c r="BL5" s="1">
        <f>(AF5*4.85)+AF5</f>
        <v>129.86999999999998</v>
      </c>
      <c r="BM5" s="1">
        <f t="shared" ref="BM5" si="27">(AG5*5.05)+AG5</f>
        <v>132.49499999999998</v>
      </c>
    </row>
    <row r="6" spans="1:65" ht="16" x14ac:dyDescent="0.2">
      <c r="A6" s="8" t="s">
        <v>285</v>
      </c>
      <c r="B6" s="16" t="s">
        <v>1044</v>
      </c>
      <c r="C6" s="1"/>
      <c r="D6" s="1">
        <v>7.3</v>
      </c>
      <c r="E6" s="1">
        <v>1.6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6"/>
      <c r="AI6" s="1"/>
      <c r="AJ6" s="1">
        <v>7.3</v>
      </c>
      <c r="AK6" s="1">
        <f t="shared" si="0"/>
        <v>1.9200000000000002</v>
      </c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5" ht="16" x14ac:dyDescent="0.2">
      <c r="A7" s="21" t="s">
        <v>644</v>
      </c>
      <c r="B7" s="16" t="s">
        <v>1045</v>
      </c>
      <c r="C7" s="1">
        <v>27.4</v>
      </c>
      <c r="D7" s="1">
        <v>3.6</v>
      </c>
      <c r="E7" s="1"/>
      <c r="F7" s="1"/>
      <c r="G7" s="1"/>
      <c r="H7" s="1"/>
      <c r="I7" s="1"/>
      <c r="J7" s="1"/>
      <c r="K7" s="1"/>
      <c r="L7" s="1"/>
      <c r="M7" s="1"/>
      <c r="N7" s="1">
        <v>0.1</v>
      </c>
      <c r="O7" s="1">
        <v>5.3</v>
      </c>
      <c r="P7" s="1">
        <v>3.1</v>
      </c>
      <c r="Q7" s="1"/>
      <c r="S7" s="1"/>
      <c r="T7" s="1"/>
      <c r="U7" s="1"/>
      <c r="V7" s="1"/>
      <c r="AF7" s="1"/>
      <c r="AG7" s="1"/>
      <c r="AH7" s="16"/>
      <c r="AI7" s="1">
        <v>27.4</v>
      </c>
      <c r="AJ7" s="1">
        <f>(D7*0.2)+D7</f>
        <v>4.32</v>
      </c>
      <c r="AK7" s="1"/>
      <c r="AL7" s="1"/>
      <c r="AM7" s="1"/>
      <c r="AN7" s="1"/>
      <c r="AO7" s="1"/>
      <c r="AP7" s="1"/>
      <c r="AQ7" s="1"/>
      <c r="AR7" s="1"/>
      <c r="AS7" s="1"/>
      <c r="AT7" s="1">
        <f>(N7*1.55)+N7</f>
        <v>0.255</v>
      </c>
      <c r="AU7" s="1">
        <f>(O7*1.7)+O7</f>
        <v>14.309999999999999</v>
      </c>
      <c r="AV7" s="1">
        <f>(P7*1.9)+P7</f>
        <v>8.99</v>
      </c>
    </row>
    <row r="8" spans="1:65" ht="16" x14ac:dyDescent="0.2">
      <c r="A8" s="21" t="s">
        <v>645</v>
      </c>
      <c r="B8" s="16" t="s">
        <v>1046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Q8" s="1"/>
      <c r="S8" s="1"/>
      <c r="T8" s="1"/>
      <c r="U8" s="1"/>
      <c r="V8" s="1"/>
      <c r="W8" s="1">
        <v>1</v>
      </c>
      <c r="X8" s="1">
        <v>1.9</v>
      </c>
      <c r="Y8" s="1">
        <v>1.2</v>
      </c>
      <c r="Z8" s="1">
        <v>1.6</v>
      </c>
      <c r="AA8" s="1">
        <v>2.5</v>
      </c>
      <c r="AB8" s="1">
        <v>6.5</v>
      </c>
      <c r="AC8" s="1">
        <v>6.9</v>
      </c>
      <c r="AD8" s="1">
        <v>9.9</v>
      </c>
      <c r="AE8" s="1">
        <v>13.8</v>
      </c>
      <c r="AF8" s="1">
        <v>24.5</v>
      </c>
      <c r="AG8" s="1">
        <v>19</v>
      </c>
      <c r="AH8" s="16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W8" s="1"/>
      <c r="AX8" s="1"/>
      <c r="AY8" s="1"/>
      <c r="AZ8" s="1"/>
      <c r="BA8" s="1"/>
      <c r="BB8" s="1"/>
      <c r="BC8" s="1">
        <v>1</v>
      </c>
      <c r="BD8" s="1">
        <f>(X8*0.25)+X8</f>
        <v>2.375</v>
      </c>
      <c r="BE8" s="1">
        <f>(Y8*0.35)+Y8</f>
        <v>1.6199999999999999</v>
      </c>
      <c r="BF8" s="1">
        <f>(Z8*0.5)+Z8</f>
        <v>2.4000000000000004</v>
      </c>
      <c r="BG8" s="1">
        <f>(AA8*0.75)+AA8</f>
        <v>4.375</v>
      </c>
      <c r="BH8" s="1">
        <f>(AB8*1)+AB8</f>
        <v>13</v>
      </c>
      <c r="BI8" s="1">
        <f>(AC8*1.25)+AC8</f>
        <v>15.525</v>
      </c>
      <c r="BJ8" s="1">
        <f>(AD8*1.45)+AD8</f>
        <v>24.255000000000003</v>
      </c>
      <c r="BK8" s="1">
        <f>(AE8*1.7)+AE8</f>
        <v>37.260000000000005</v>
      </c>
      <c r="BL8" s="1">
        <f>(AF8*1.9)+AF8</f>
        <v>71.05</v>
      </c>
      <c r="BM8" s="1">
        <f>(AG8*2.1)+AG8</f>
        <v>58.9</v>
      </c>
    </row>
    <row r="9" spans="1:65" ht="16" x14ac:dyDescent="0.2">
      <c r="A9" s="21" t="s">
        <v>642</v>
      </c>
      <c r="B9" s="16" t="s">
        <v>1047</v>
      </c>
      <c r="C9" s="1"/>
      <c r="D9" s="1"/>
      <c r="E9" s="1"/>
      <c r="F9" s="1"/>
      <c r="G9" s="1">
        <v>9.1999999999999993</v>
      </c>
      <c r="H9" s="1"/>
      <c r="I9" s="1"/>
      <c r="J9" s="1"/>
      <c r="K9" s="1"/>
      <c r="L9" s="1"/>
      <c r="M9" s="1"/>
      <c r="N9" s="1"/>
      <c r="O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6"/>
      <c r="AI9" s="1"/>
      <c r="AJ9" s="1"/>
      <c r="AK9" s="1"/>
      <c r="AL9" s="1"/>
      <c r="AM9" s="1">
        <v>9.1999999999999993</v>
      </c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5" ht="16" x14ac:dyDescent="0.2">
      <c r="A10" s="21" t="s">
        <v>1530</v>
      </c>
      <c r="B10" s="16" t="s">
        <v>1529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>
        <v>3.6</v>
      </c>
      <c r="AH10" s="16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M10" s="1">
        <v>3.6</v>
      </c>
    </row>
    <row r="11" spans="1:65" ht="16" x14ac:dyDescent="0.2">
      <c r="A11" s="21" t="s">
        <v>80</v>
      </c>
      <c r="B11" s="16" t="s">
        <v>1531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>
        <v>1.9</v>
      </c>
      <c r="AG11" s="3">
        <v>3.9</v>
      </c>
      <c r="AH11" s="16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>
        <v>1.9</v>
      </c>
      <c r="BM11" s="1">
        <f>(AG11*0.2)+AG11</f>
        <v>4.68</v>
      </c>
    </row>
    <row r="12" spans="1:65" ht="16" x14ac:dyDescent="0.2">
      <c r="A12" s="8" t="s">
        <v>284</v>
      </c>
      <c r="B12" s="16" t="s">
        <v>1048</v>
      </c>
      <c r="H12" s="1">
        <v>34.799999999999997</v>
      </c>
      <c r="I12" s="1">
        <v>33.299999999999997</v>
      </c>
      <c r="J12" s="1">
        <v>23.1</v>
      </c>
      <c r="K12" s="1">
        <v>20.5</v>
      </c>
      <c r="L12" s="1">
        <v>19.8</v>
      </c>
      <c r="M12" s="1">
        <v>25.8</v>
      </c>
      <c r="N12" s="1">
        <v>32</v>
      </c>
      <c r="O12" s="1">
        <v>26.6</v>
      </c>
      <c r="P12" s="1">
        <v>32</v>
      </c>
      <c r="Q12" s="1">
        <v>34.1</v>
      </c>
      <c r="R12" s="1">
        <v>34.1</v>
      </c>
      <c r="S12" s="1">
        <v>35.1</v>
      </c>
      <c r="T12" s="1">
        <v>30.5</v>
      </c>
      <c r="U12" s="1">
        <v>36.5</v>
      </c>
      <c r="V12" s="1">
        <v>37.299999999999997</v>
      </c>
      <c r="W12" s="1">
        <v>39.200000000000003</v>
      </c>
      <c r="X12" s="1">
        <v>27.1</v>
      </c>
      <c r="Y12" s="1">
        <v>29.3</v>
      </c>
      <c r="Z12" s="1">
        <v>24.5</v>
      </c>
      <c r="AA12" s="1">
        <v>27.9</v>
      </c>
      <c r="AB12" s="1">
        <v>22.5</v>
      </c>
      <c r="AC12" s="1">
        <v>27.3</v>
      </c>
      <c r="AD12" s="1">
        <v>36.1</v>
      </c>
      <c r="AE12" s="1">
        <v>25.5</v>
      </c>
      <c r="AF12" s="1">
        <v>20.9</v>
      </c>
      <c r="AG12" s="1">
        <v>20.8</v>
      </c>
      <c r="AH12" s="16"/>
      <c r="AI12" s="1"/>
      <c r="AJ12" s="1"/>
      <c r="AK12" s="1"/>
      <c r="AL12" s="1"/>
      <c r="AM12" s="1"/>
      <c r="AN12" s="1">
        <v>34.799999999999997</v>
      </c>
      <c r="AO12" s="1">
        <f>(I12*0.05)+I12</f>
        <v>34.964999999999996</v>
      </c>
      <c r="AP12" s="1">
        <f>(J12*0.3)+J12</f>
        <v>30.03</v>
      </c>
      <c r="AQ12" s="1">
        <f>(K12*0.35)+K12</f>
        <v>27.675000000000001</v>
      </c>
      <c r="AR12" s="1">
        <f>(L12*0.55)+L12</f>
        <v>30.69</v>
      </c>
      <c r="AS12" s="1">
        <f>(M12*0.7)+M12</f>
        <v>43.86</v>
      </c>
      <c r="AT12" s="1">
        <f>(N12*0.85)+N12</f>
        <v>59.2</v>
      </c>
      <c r="AU12" s="1">
        <f>(O12*1)+O12</f>
        <v>53.2</v>
      </c>
      <c r="AV12" s="1">
        <f>(P12*1.2)+P12</f>
        <v>70.400000000000006</v>
      </c>
      <c r="AW12" s="1">
        <f>(Q12*1.4)+Q12</f>
        <v>81.84</v>
      </c>
      <c r="AX12" s="1">
        <f>(R12*1.6)+R12</f>
        <v>88.66</v>
      </c>
      <c r="AY12" s="1">
        <f>(S12*1.8)+S12</f>
        <v>98.28</v>
      </c>
      <c r="AZ12" s="1">
        <f>(T12*2)+T12</f>
        <v>91.5</v>
      </c>
      <c r="BA12" s="1">
        <f>(U12*2.2)+U12</f>
        <v>116.80000000000001</v>
      </c>
      <c r="BB12" s="1">
        <f>(V12*2.25)+V12</f>
        <v>121.22499999999999</v>
      </c>
      <c r="BC12" s="1">
        <f>(W12*2.25)+W12</f>
        <v>127.4</v>
      </c>
      <c r="BD12" s="1">
        <f>(X12*2.5)+X12</f>
        <v>94.85</v>
      </c>
      <c r="BE12" s="1">
        <f>(Y12*2.6)+Y12</f>
        <v>105.48</v>
      </c>
      <c r="BF12" s="1">
        <f>(Z12*2.75)+Z12</f>
        <v>91.875</v>
      </c>
      <c r="BG12" s="1">
        <f>(AA12*3)+AA12</f>
        <v>111.6</v>
      </c>
      <c r="BH12" s="1">
        <f>(AB12*3.25)+AB12</f>
        <v>95.625</v>
      </c>
      <c r="BI12" s="1">
        <f>(AC12*3.5)+AC12</f>
        <v>122.85</v>
      </c>
      <c r="BJ12" s="1">
        <f>(AD12*3.7)+AD12</f>
        <v>169.67000000000002</v>
      </c>
      <c r="BK12" s="1">
        <f>(AE12*3.95)+AE12</f>
        <v>126.22500000000001</v>
      </c>
      <c r="BL12" s="1">
        <f>(AF12*4.15)+AF12</f>
        <v>107.63499999999999</v>
      </c>
      <c r="BM12" s="1">
        <f>(AG12*4.35)+AG12</f>
        <v>111.27999999999999</v>
      </c>
    </row>
    <row r="13" spans="1:65" ht="16" x14ac:dyDescent="0.2">
      <c r="A13" s="8" t="s">
        <v>647</v>
      </c>
      <c r="B13" s="16" t="s">
        <v>1049</v>
      </c>
      <c r="J13" s="1">
        <v>9.8000000000000007</v>
      </c>
      <c r="K13" s="1">
        <v>10.1</v>
      </c>
      <c r="L13" s="1">
        <v>5.6</v>
      </c>
      <c r="M13" s="1">
        <v>2.9</v>
      </c>
      <c r="N13" s="1">
        <v>3.8</v>
      </c>
      <c r="O13" s="1">
        <v>2.4</v>
      </c>
      <c r="P13" s="1">
        <v>1.5</v>
      </c>
      <c r="Z13" s="1"/>
      <c r="AA13" s="1"/>
      <c r="AF13" s="1"/>
      <c r="AG13" s="1"/>
      <c r="AH13" s="16"/>
      <c r="AI13" s="1"/>
      <c r="AJ13" s="1"/>
      <c r="AK13" s="1"/>
      <c r="AL13" s="1"/>
      <c r="AM13" s="1"/>
      <c r="AN13" s="1"/>
      <c r="AO13" s="1"/>
      <c r="AP13" s="1">
        <v>9.8000000000000007</v>
      </c>
      <c r="AQ13" s="1">
        <f>(K13*0.1)+K13</f>
        <v>11.11</v>
      </c>
      <c r="AR13" s="1">
        <f>(L13*0.3)+L13</f>
        <v>7.2799999999999994</v>
      </c>
      <c r="AS13" s="1">
        <f>(M13*0.45)+M13</f>
        <v>4.2050000000000001</v>
      </c>
      <c r="AT13" s="1">
        <f>(N13*0.6)+N13</f>
        <v>6.08</v>
      </c>
      <c r="AU13" s="1">
        <f>(O13*0.75)+O13</f>
        <v>4.1999999999999993</v>
      </c>
      <c r="AV13" s="1">
        <f>(P13*0.95)+P13</f>
        <v>2.9249999999999998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5" ht="16" x14ac:dyDescent="0.2">
      <c r="A14" s="8" t="s">
        <v>648</v>
      </c>
      <c r="B14" s="16" t="s">
        <v>1050</v>
      </c>
      <c r="L14" s="1">
        <v>13.2</v>
      </c>
      <c r="M14" s="1">
        <v>4.0999999999999996</v>
      </c>
      <c r="N14" s="1">
        <v>3.1</v>
      </c>
      <c r="O14" s="1">
        <v>1.7</v>
      </c>
      <c r="P14" s="1">
        <v>1.1000000000000001</v>
      </c>
      <c r="Q14" s="1">
        <v>0.8</v>
      </c>
      <c r="Z14" s="1"/>
      <c r="AA14" s="1"/>
      <c r="AF14" s="1"/>
      <c r="AG14" s="1"/>
      <c r="AH14" s="16"/>
      <c r="AI14" s="1"/>
      <c r="AJ14" s="1"/>
      <c r="AK14" s="1"/>
      <c r="AL14" s="1"/>
      <c r="AM14" s="1"/>
      <c r="AN14" s="1"/>
      <c r="AO14" s="1"/>
      <c r="AP14" s="1"/>
      <c r="AQ14" s="1"/>
      <c r="AR14" s="1">
        <v>13.2</v>
      </c>
      <c r="AS14" s="1">
        <f>(M14*0.15)+M14</f>
        <v>4.7149999999999999</v>
      </c>
      <c r="AT14" s="1">
        <f>(N14*0.3)+N14</f>
        <v>4.03</v>
      </c>
      <c r="AU14" s="1">
        <f>(O14*0.45)+O14</f>
        <v>2.4649999999999999</v>
      </c>
      <c r="AV14" s="1">
        <f>(P14*0.65)+P14</f>
        <v>1.8150000000000002</v>
      </c>
      <c r="AW14" s="1">
        <f>(Q14*0.85)+Q14</f>
        <v>1.48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5" ht="16" x14ac:dyDescent="0.2">
      <c r="A15" s="21" t="s">
        <v>641</v>
      </c>
      <c r="B15" s="16" t="s">
        <v>1051</v>
      </c>
      <c r="L15" s="1"/>
      <c r="M15" s="1"/>
      <c r="N15" s="1"/>
      <c r="O15" s="1"/>
      <c r="P15" s="1"/>
      <c r="Q15" s="1"/>
      <c r="S15" s="1">
        <v>1.1000000000000001</v>
      </c>
      <c r="T15" s="1">
        <v>1.7</v>
      </c>
      <c r="U15" s="1">
        <v>1.7</v>
      </c>
      <c r="V15" s="1">
        <v>2.2999999999999998</v>
      </c>
      <c r="W15" s="1">
        <v>3.3</v>
      </c>
      <c r="X15" s="1">
        <v>3.8</v>
      </c>
      <c r="Y15" s="1">
        <v>5</v>
      </c>
      <c r="Z15" s="1">
        <v>0.7</v>
      </c>
      <c r="AA15" s="1">
        <v>0.4</v>
      </c>
      <c r="AB15" s="1">
        <v>0.2</v>
      </c>
      <c r="AC15" s="1">
        <v>0.2</v>
      </c>
      <c r="AD15" s="1">
        <v>0.1</v>
      </c>
      <c r="AE15" s="1">
        <v>0.2</v>
      </c>
      <c r="AF15" s="1">
        <v>0.1</v>
      </c>
      <c r="AG15" s="1"/>
      <c r="AH15" s="16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>
        <v>1.1000000000000001</v>
      </c>
      <c r="AZ15" s="1">
        <f>(T15*0.2)+T15</f>
        <v>2.04</v>
      </c>
      <c r="BA15" s="1">
        <f>(U15*0.4)+U15</f>
        <v>2.38</v>
      </c>
      <c r="BB15" s="1">
        <f>(V15*0.45)+V15</f>
        <v>3.335</v>
      </c>
      <c r="BC15" s="1">
        <f>(W15*0.45)+W15</f>
        <v>4.7850000000000001</v>
      </c>
      <c r="BD15" s="1">
        <f>(X15*0.7)+X15</f>
        <v>6.4599999999999991</v>
      </c>
      <c r="BE15" s="1">
        <f>(Y15*0.8)+Y15</f>
        <v>9</v>
      </c>
      <c r="BF15" s="1">
        <f>(Z15*0.95)+Z15</f>
        <v>1.3649999999999998</v>
      </c>
      <c r="BG15" s="1">
        <f>(AA15*1.2)+AA15</f>
        <v>0.88</v>
      </c>
      <c r="BH15" s="1">
        <f>(AB15*1.45)+AB15</f>
        <v>0.49</v>
      </c>
      <c r="BI15" s="1">
        <f>(AC15*1.7)+AC15</f>
        <v>0.54</v>
      </c>
      <c r="BJ15" s="1">
        <f>(AD15*1.9)+AD15</f>
        <v>0.29000000000000004</v>
      </c>
      <c r="BK15" s="1">
        <f>(AE15*2.15)+AE15</f>
        <v>0.63</v>
      </c>
      <c r="BL15" s="1">
        <f>(AF15*2.35)+AF15</f>
        <v>0.33500000000000002</v>
      </c>
      <c r="BM15" s="1"/>
    </row>
    <row r="16" spans="1:65" ht="16" x14ac:dyDescent="0.2">
      <c r="A16" s="8" t="s">
        <v>646</v>
      </c>
      <c r="B16" s="16" t="s">
        <v>773</v>
      </c>
      <c r="W16" s="1">
        <v>0.2</v>
      </c>
      <c r="X16" s="1">
        <v>0.4</v>
      </c>
      <c r="Y16" s="1">
        <v>1.5</v>
      </c>
      <c r="Z16" s="1">
        <v>1.4</v>
      </c>
      <c r="AA16" s="1">
        <v>2.8</v>
      </c>
      <c r="AB16" s="1">
        <v>3.8</v>
      </c>
      <c r="AC16" s="1">
        <v>4.7</v>
      </c>
      <c r="AD16" s="1">
        <v>1.8</v>
      </c>
      <c r="AE16" s="1">
        <v>2.7</v>
      </c>
      <c r="AF16" s="1">
        <v>7.1</v>
      </c>
      <c r="AG16" s="1">
        <v>3</v>
      </c>
      <c r="AH16" s="16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>
        <v>0.2</v>
      </c>
      <c r="BD16" s="1">
        <f>(X16*0.25)+X16</f>
        <v>0.5</v>
      </c>
      <c r="BE16" s="1">
        <f>(Y16*0.35)+Y16</f>
        <v>2.0249999999999999</v>
      </c>
      <c r="BF16" s="1">
        <f>(Z16*0.5)+Z16</f>
        <v>2.0999999999999996</v>
      </c>
      <c r="BG16" s="1">
        <f>(AA16*0.75)+AA16</f>
        <v>4.8999999999999995</v>
      </c>
      <c r="BH16" s="1">
        <f>(AB16*1)+AB16</f>
        <v>7.6</v>
      </c>
      <c r="BI16" s="1">
        <f>(AC16*1.25)+AC16</f>
        <v>10.574999999999999</v>
      </c>
      <c r="BJ16" s="1">
        <f>(AD16*1.45)+AD16</f>
        <v>4.41</v>
      </c>
      <c r="BK16" s="1">
        <f>(AE16*1.7)+AE16</f>
        <v>7.29</v>
      </c>
      <c r="BL16" s="1">
        <f>(AF16*1.9)+AF16</f>
        <v>20.589999999999996</v>
      </c>
      <c r="BM16" s="1">
        <f>(AG16*2.1)+AG16</f>
        <v>9.3000000000000007</v>
      </c>
    </row>
    <row r="17" spans="1:65" ht="16" x14ac:dyDescent="0.2">
      <c r="A17" s="8" t="s">
        <v>149</v>
      </c>
      <c r="B17" s="16" t="s">
        <v>802</v>
      </c>
      <c r="W17" s="1"/>
      <c r="X17" s="1"/>
      <c r="Y17" s="1"/>
      <c r="Z17" s="1"/>
      <c r="AA17" s="1"/>
      <c r="AB17" s="1"/>
      <c r="AC17" s="1"/>
      <c r="AD17" s="1"/>
      <c r="AE17" s="1">
        <v>3</v>
      </c>
      <c r="AF17" s="1">
        <v>2.9</v>
      </c>
      <c r="AG17" s="1">
        <v>4.8</v>
      </c>
      <c r="AH17" s="1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>
        <v>3</v>
      </c>
      <c r="BL17" s="1">
        <f>(AF17*0.2)+AF17</f>
        <v>3.48</v>
      </c>
      <c r="BM17" s="1">
        <f>(AG17*0.4)+AG17</f>
        <v>6.72</v>
      </c>
    </row>
    <row r="18" spans="1:65" ht="16" x14ac:dyDescent="0.2">
      <c r="A18" s="8" t="s">
        <v>357</v>
      </c>
      <c r="B18" s="16" t="s">
        <v>1052</v>
      </c>
      <c r="L18" s="1"/>
      <c r="M18" s="1"/>
      <c r="N18" s="1"/>
      <c r="O18" s="1"/>
      <c r="P18" s="1"/>
      <c r="Q18" s="1"/>
      <c r="U18" s="1"/>
      <c r="W18" s="1"/>
      <c r="X18" s="1">
        <v>11.8</v>
      </c>
      <c r="Y18" s="1">
        <v>5.5</v>
      </c>
      <c r="Z18" s="1">
        <v>4.7</v>
      </c>
      <c r="AA18" s="1">
        <v>4.7</v>
      </c>
      <c r="AB18" s="1">
        <v>4</v>
      </c>
      <c r="AC18" s="1">
        <v>2.7</v>
      </c>
      <c r="AD18" s="1"/>
      <c r="AE18" s="1"/>
      <c r="AF18" s="1"/>
      <c r="AG18" s="1"/>
      <c r="AH18" s="1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>
        <v>11.8</v>
      </c>
      <c r="BE18" s="1">
        <f>(Y18*0.1)+Y18</f>
        <v>6.05</v>
      </c>
      <c r="BF18" s="1">
        <f>(Z18*0.25)+Z18</f>
        <v>5.875</v>
      </c>
      <c r="BG18" s="1">
        <f>(AA18*0.5)+AA18</f>
        <v>7.0500000000000007</v>
      </c>
      <c r="BH18" s="1">
        <f>(AB18*0.75)+AB18</f>
        <v>7</v>
      </c>
      <c r="BI18" s="1">
        <f>(AC18*1)+AC18</f>
        <v>5.4</v>
      </c>
      <c r="BJ18" s="1"/>
      <c r="BK18" s="1"/>
    </row>
    <row r="19" spans="1:65" x14ac:dyDescent="0.2">
      <c r="U19" s="1"/>
      <c r="X19" s="1"/>
      <c r="AH19" s="3" t="s">
        <v>14</v>
      </c>
      <c r="AI19" s="1">
        <f t="shared" ref="AI19:BM19" si="28">SUM(AI2:AI18)</f>
        <v>89.1</v>
      </c>
      <c r="AJ19" s="1">
        <f t="shared" si="28"/>
        <v>96.5</v>
      </c>
      <c r="AK19" s="1">
        <f t="shared" si="28"/>
        <v>109.2</v>
      </c>
      <c r="AL19" s="1">
        <f t="shared" si="28"/>
        <v>129.48500000000001</v>
      </c>
      <c r="AM19" s="1">
        <f t="shared" si="28"/>
        <v>138.05000000000001</v>
      </c>
      <c r="AN19" s="1">
        <f t="shared" si="28"/>
        <v>129.15</v>
      </c>
      <c r="AO19" s="1">
        <f t="shared" si="28"/>
        <v>143.29</v>
      </c>
      <c r="AP19" s="1">
        <f t="shared" si="28"/>
        <v>155.03</v>
      </c>
      <c r="AQ19" s="1">
        <f t="shared" si="28"/>
        <v>157.07</v>
      </c>
      <c r="AR19" s="1">
        <f t="shared" si="28"/>
        <v>165.02</v>
      </c>
      <c r="AS19" s="1">
        <f t="shared" si="28"/>
        <v>191.26</v>
      </c>
      <c r="AT19" s="1">
        <f t="shared" si="28"/>
        <v>211.08999999999997</v>
      </c>
      <c r="AU19" s="1">
        <f t="shared" si="28"/>
        <v>229.155</v>
      </c>
      <c r="AV19" s="1">
        <f t="shared" si="28"/>
        <v>244.79</v>
      </c>
      <c r="AW19" s="1">
        <f t="shared" si="28"/>
        <v>278.93000000000006</v>
      </c>
      <c r="AX19" s="1">
        <f t="shared" si="28"/>
        <v>295.57</v>
      </c>
      <c r="AY19" s="1">
        <f t="shared" si="28"/>
        <v>309.02999999999997</v>
      </c>
      <c r="AZ19" s="1">
        <f t="shared" si="28"/>
        <v>323.68</v>
      </c>
      <c r="BA19" s="1">
        <f t="shared" si="28"/>
        <v>334.46</v>
      </c>
      <c r="BB19" s="1">
        <f t="shared" si="28"/>
        <v>347.34</v>
      </c>
      <c r="BC19" s="1">
        <f t="shared" si="28"/>
        <v>349.05500000000006</v>
      </c>
      <c r="BD19" s="1">
        <f t="shared" si="28"/>
        <v>328.08499999999998</v>
      </c>
      <c r="BE19" s="1">
        <f t="shared" si="28"/>
        <v>354.65499999999997</v>
      </c>
      <c r="BF19" s="1">
        <f t="shared" si="28"/>
        <v>363.495</v>
      </c>
      <c r="BG19" s="1">
        <f t="shared" si="28"/>
        <v>362.39499999999992</v>
      </c>
      <c r="BH19" s="1">
        <f t="shared" si="28"/>
        <v>382.6</v>
      </c>
      <c r="BI19" s="1">
        <f t="shared" si="28"/>
        <v>423.73</v>
      </c>
      <c r="BJ19" s="1">
        <f t="shared" si="28"/>
        <v>398.42500000000007</v>
      </c>
      <c r="BK19" s="1">
        <f t="shared" si="28"/>
        <v>348.99000000000007</v>
      </c>
      <c r="BL19" s="1">
        <f t="shared" si="28"/>
        <v>360.59999999999991</v>
      </c>
      <c r="BM19" s="1">
        <f t="shared" si="28"/>
        <v>355.41</v>
      </c>
    </row>
    <row r="20" spans="1:65" x14ac:dyDescent="0.2">
      <c r="U20" s="1"/>
      <c r="AD20" s="1"/>
      <c r="AE20" s="1"/>
      <c r="AF20" s="1"/>
      <c r="AG20" s="1"/>
    </row>
    <row r="21" spans="1:65" ht="16" x14ac:dyDescent="0.2">
      <c r="A21" s="16"/>
      <c r="B21" s="16"/>
      <c r="C21" s="16"/>
      <c r="D21" s="16"/>
      <c r="AD21" s="1"/>
      <c r="AE21" s="1"/>
      <c r="AF21" s="1"/>
      <c r="AG21" s="1"/>
      <c r="AI21" s="1">
        <v>100</v>
      </c>
      <c r="AJ21" s="1">
        <v>120</v>
      </c>
      <c r="AK21" s="1">
        <v>120</v>
      </c>
      <c r="AL21" s="1">
        <v>145</v>
      </c>
      <c r="AM21" s="1">
        <v>150</v>
      </c>
      <c r="AN21" s="1">
        <v>170</v>
      </c>
      <c r="AO21" s="1">
        <v>175</v>
      </c>
      <c r="AP21" s="1">
        <v>200</v>
      </c>
      <c r="AQ21" s="1">
        <v>205</v>
      </c>
      <c r="AR21" s="1">
        <v>225</v>
      </c>
      <c r="AS21" s="1">
        <v>240</v>
      </c>
      <c r="AT21" s="1">
        <v>255</v>
      </c>
      <c r="AU21" s="1">
        <v>270</v>
      </c>
      <c r="AV21" s="1">
        <v>290</v>
      </c>
      <c r="AW21" s="1">
        <v>310</v>
      </c>
      <c r="AX21" s="1">
        <v>330</v>
      </c>
      <c r="AY21" s="1">
        <v>350</v>
      </c>
      <c r="AZ21" s="1">
        <v>370</v>
      </c>
      <c r="BA21" s="1">
        <v>390</v>
      </c>
      <c r="BB21" s="1">
        <v>395</v>
      </c>
      <c r="BC21" s="1">
        <v>395</v>
      </c>
      <c r="BD21" s="1">
        <v>420</v>
      </c>
      <c r="BE21" s="1">
        <v>430</v>
      </c>
      <c r="BF21" s="1">
        <v>445</v>
      </c>
      <c r="BG21" s="1">
        <v>470</v>
      </c>
      <c r="BH21" s="1">
        <v>495</v>
      </c>
      <c r="BI21" s="1">
        <v>520</v>
      </c>
      <c r="BJ21" s="1">
        <v>540</v>
      </c>
      <c r="BK21" s="1">
        <v>565</v>
      </c>
      <c r="BL21" s="1">
        <v>585</v>
      </c>
      <c r="BM21" s="1">
        <v>605</v>
      </c>
    </row>
    <row r="22" spans="1:65" ht="16" x14ac:dyDescent="0.2">
      <c r="A22" s="16"/>
      <c r="B22" s="16"/>
      <c r="C22" s="16"/>
      <c r="D22" s="16"/>
    </row>
    <row r="23" spans="1:65" ht="16" x14ac:dyDescent="0.2">
      <c r="A23" s="16"/>
      <c r="B23" s="16"/>
      <c r="C23" s="16"/>
      <c r="D23" s="16"/>
      <c r="AI23" s="1">
        <f>AI19</f>
        <v>89.1</v>
      </c>
      <c r="AJ23" s="1">
        <f>SUM(AI23+AJ19)</f>
        <v>185.6</v>
      </c>
      <c r="AK23" s="1">
        <f>SUM(AJ23+AK19)</f>
        <v>294.8</v>
      </c>
      <c r="AL23" s="1">
        <f>SUM(AK23+AL19)</f>
        <v>424.28500000000003</v>
      </c>
      <c r="AM23" s="1">
        <f t="shared" ref="AM23:BD23" si="29">SUM(AL23+AM19)</f>
        <v>562.33500000000004</v>
      </c>
      <c r="AN23" s="1">
        <f t="shared" si="29"/>
        <v>691.48500000000001</v>
      </c>
      <c r="AO23" s="1">
        <f t="shared" si="29"/>
        <v>834.77499999999998</v>
      </c>
      <c r="AP23" s="1">
        <f t="shared" si="29"/>
        <v>989.80499999999995</v>
      </c>
      <c r="AQ23" s="1">
        <f t="shared" si="29"/>
        <v>1146.875</v>
      </c>
      <c r="AR23" s="1">
        <f t="shared" si="29"/>
        <v>1311.895</v>
      </c>
      <c r="AS23" s="1">
        <f t="shared" si="29"/>
        <v>1503.155</v>
      </c>
      <c r="AT23" s="1">
        <f t="shared" si="29"/>
        <v>1714.2449999999999</v>
      </c>
      <c r="AU23" s="1">
        <f t="shared" si="29"/>
        <v>1943.3999999999999</v>
      </c>
      <c r="AV23" s="1">
        <f t="shared" si="29"/>
        <v>2188.19</v>
      </c>
      <c r="AW23" s="1">
        <f t="shared" si="29"/>
        <v>2467.12</v>
      </c>
      <c r="AX23" s="1">
        <f t="shared" si="29"/>
        <v>2762.69</v>
      </c>
      <c r="AY23" s="1">
        <f t="shared" si="29"/>
        <v>3071.7200000000003</v>
      </c>
      <c r="AZ23" s="1">
        <f t="shared" si="29"/>
        <v>3395.4</v>
      </c>
      <c r="BA23" s="1">
        <f t="shared" si="29"/>
        <v>3729.86</v>
      </c>
      <c r="BB23" s="1">
        <f t="shared" si="29"/>
        <v>4077.2000000000003</v>
      </c>
      <c r="BC23" s="1">
        <f t="shared" si="29"/>
        <v>4426.2550000000001</v>
      </c>
      <c r="BD23" s="1">
        <f t="shared" si="29"/>
        <v>4754.34</v>
      </c>
      <c r="BE23" s="1">
        <f t="shared" ref="BE23" si="30">SUM(BD23+BE19)</f>
        <v>5108.9949999999999</v>
      </c>
      <c r="BF23" s="1">
        <f t="shared" ref="BF23" si="31">SUM(BE23+BF19)</f>
        <v>5472.49</v>
      </c>
      <c r="BG23" s="1">
        <f t="shared" ref="BG23" si="32">SUM(BF23+BG19)</f>
        <v>5834.8849999999993</v>
      </c>
      <c r="BH23" s="1">
        <f t="shared" ref="BH23" si="33">SUM(BG23+BH19)</f>
        <v>6217.4849999999997</v>
      </c>
      <c r="BI23" s="1">
        <f t="shared" ref="BI23" si="34">SUM(BH23+BI19)</f>
        <v>6641.2150000000001</v>
      </c>
      <c r="BJ23" s="1">
        <f t="shared" ref="BJ23" si="35">SUM(BI23+BJ19)</f>
        <v>7039.64</v>
      </c>
      <c r="BK23" s="1">
        <f t="shared" ref="BK23:BM23" si="36">SUM(BJ23+BK19)</f>
        <v>7388.63</v>
      </c>
      <c r="BL23" s="1">
        <f t="shared" si="36"/>
        <v>7749.23</v>
      </c>
      <c r="BM23" s="1">
        <f t="shared" si="36"/>
        <v>8104.6399999999994</v>
      </c>
    </row>
    <row r="24" spans="1:65" ht="16" x14ac:dyDescent="0.2">
      <c r="A24" s="16"/>
      <c r="B24" s="16"/>
      <c r="C24" s="16"/>
      <c r="D24" s="16"/>
      <c r="AI24" s="3"/>
      <c r="AJ24" s="3"/>
      <c r="AK24" s="3"/>
      <c r="AL24" s="3"/>
      <c r="AM24" s="1"/>
      <c r="AN24" s="3"/>
      <c r="AO24" s="3"/>
      <c r="AP24" s="3"/>
      <c r="AQ24" s="3"/>
      <c r="AR24" s="3"/>
      <c r="AS24" s="3"/>
      <c r="AT24" s="5"/>
      <c r="AU24" s="5"/>
      <c r="AV24" s="3"/>
      <c r="AW24" s="3"/>
      <c r="AX24" s="3"/>
      <c r="AY24" s="3"/>
      <c r="AZ24" s="1"/>
      <c r="BA24" s="1"/>
      <c r="BB24" s="1"/>
      <c r="BC24" s="1"/>
    </row>
    <row r="25" spans="1:65" ht="16" x14ac:dyDescent="0.2">
      <c r="A25" s="16"/>
      <c r="B25" s="16"/>
      <c r="C25" s="16"/>
      <c r="D25" s="16"/>
      <c r="AI25" s="1">
        <v>100</v>
      </c>
      <c r="AJ25" s="1">
        <f>SUM(AI25+AJ21)</f>
        <v>220</v>
      </c>
      <c r="AK25" s="1">
        <f>SUM(AJ25+AK21)</f>
        <v>340</v>
      </c>
      <c r="AL25" s="1">
        <f>SUM(AK25+AL21)</f>
        <v>485</v>
      </c>
      <c r="AM25" s="1">
        <f t="shared" ref="AM25:BD25" si="37">SUM(AL25+AM21)</f>
        <v>635</v>
      </c>
      <c r="AN25" s="1">
        <f t="shared" si="37"/>
        <v>805</v>
      </c>
      <c r="AO25" s="1">
        <f t="shared" si="37"/>
        <v>980</v>
      </c>
      <c r="AP25" s="1">
        <f t="shared" si="37"/>
        <v>1180</v>
      </c>
      <c r="AQ25" s="1">
        <f t="shared" si="37"/>
        <v>1385</v>
      </c>
      <c r="AR25" s="1">
        <f t="shared" si="37"/>
        <v>1610</v>
      </c>
      <c r="AS25" s="1">
        <f t="shared" si="37"/>
        <v>1850</v>
      </c>
      <c r="AT25" s="1">
        <f t="shared" si="37"/>
        <v>2105</v>
      </c>
      <c r="AU25" s="1">
        <f t="shared" si="37"/>
        <v>2375</v>
      </c>
      <c r="AV25" s="1">
        <f t="shared" si="37"/>
        <v>2665</v>
      </c>
      <c r="AW25" s="1">
        <f t="shared" si="37"/>
        <v>2975</v>
      </c>
      <c r="AX25" s="1">
        <f t="shared" si="37"/>
        <v>3305</v>
      </c>
      <c r="AY25" s="1">
        <f t="shared" si="37"/>
        <v>3655</v>
      </c>
      <c r="AZ25" s="1">
        <f t="shared" si="37"/>
        <v>4025</v>
      </c>
      <c r="BA25" s="1">
        <f t="shared" si="37"/>
        <v>4415</v>
      </c>
      <c r="BB25" s="1">
        <f t="shared" si="37"/>
        <v>4810</v>
      </c>
      <c r="BC25" s="1">
        <f t="shared" si="37"/>
        <v>5205</v>
      </c>
      <c r="BD25" s="1">
        <f t="shared" si="37"/>
        <v>5625</v>
      </c>
      <c r="BE25" s="1">
        <f t="shared" ref="BE25" si="38">SUM(BD25+BE21)</f>
        <v>6055</v>
      </c>
      <c r="BF25" s="1">
        <f t="shared" ref="BF25" si="39">SUM(BE25+BF21)</f>
        <v>6500</v>
      </c>
      <c r="BG25" s="1">
        <f t="shared" ref="BG25" si="40">SUM(BF25+BG21)</f>
        <v>6970</v>
      </c>
      <c r="BH25" s="1">
        <f t="shared" ref="BH25" si="41">SUM(BG25+BH21)</f>
        <v>7465</v>
      </c>
      <c r="BI25" s="1">
        <f t="shared" ref="BI25" si="42">SUM(BH25+BI21)</f>
        <v>7985</v>
      </c>
      <c r="BJ25" s="1">
        <f t="shared" ref="BJ25" si="43">SUM(BI25+BJ21)</f>
        <v>8525</v>
      </c>
      <c r="BK25" s="1">
        <f t="shared" ref="BK25:BM25" si="44">SUM(BJ25+BK21)</f>
        <v>9090</v>
      </c>
      <c r="BL25" s="1">
        <f t="shared" si="44"/>
        <v>9675</v>
      </c>
      <c r="BM25" s="1">
        <f t="shared" si="44"/>
        <v>10280</v>
      </c>
    </row>
    <row r="26" spans="1:65" ht="16" x14ac:dyDescent="0.2">
      <c r="A26" s="16"/>
      <c r="B26" s="16"/>
      <c r="C26" s="16"/>
      <c r="D26" s="16"/>
    </row>
    <row r="27" spans="1:65" ht="16" x14ac:dyDescent="0.2">
      <c r="A27" s="16"/>
      <c r="B27" s="16"/>
      <c r="C27" s="16"/>
      <c r="D27" s="16"/>
      <c r="AI27" s="4" t="s">
        <v>1563</v>
      </c>
      <c r="AJ27" s="4" t="s">
        <v>1563</v>
      </c>
      <c r="AK27" s="4" t="s">
        <v>1563</v>
      </c>
      <c r="AL27" s="4" t="s">
        <v>1563</v>
      </c>
      <c r="AM27" s="4" t="s">
        <v>1563</v>
      </c>
      <c r="AN27" s="4" t="s">
        <v>1563</v>
      </c>
      <c r="AO27" s="4" t="s">
        <v>1563</v>
      </c>
      <c r="AP27" s="4" t="s">
        <v>1563</v>
      </c>
      <c r="AQ27" s="4" t="s">
        <v>1563</v>
      </c>
      <c r="AR27" s="4" t="s">
        <v>1563</v>
      </c>
      <c r="AS27" s="4" t="s">
        <v>1563</v>
      </c>
      <c r="AT27" s="4" t="s">
        <v>1563</v>
      </c>
      <c r="AU27" s="4" t="s">
        <v>1563</v>
      </c>
      <c r="AV27" s="4" t="s">
        <v>1563</v>
      </c>
      <c r="AW27" s="4" t="s">
        <v>1563</v>
      </c>
      <c r="AX27" s="4" t="s">
        <v>1563</v>
      </c>
      <c r="AY27" s="4" t="s">
        <v>1563</v>
      </c>
      <c r="AZ27" s="4" t="s">
        <v>1563</v>
      </c>
      <c r="BA27" s="4" t="s">
        <v>1563</v>
      </c>
      <c r="BB27" s="4" t="s">
        <v>1563</v>
      </c>
      <c r="BC27" s="4" t="s">
        <v>1563</v>
      </c>
      <c r="BD27" s="4" t="s">
        <v>1563</v>
      </c>
      <c r="BE27" s="4" t="s">
        <v>1563</v>
      </c>
      <c r="BF27" s="4" t="s">
        <v>1563</v>
      </c>
      <c r="BG27" s="4" t="s">
        <v>1563</v>
      </c>
      <c r="BH27" s="4" t="s">
        <v>1563</v>
      </c>
      <c r="BI27" s="4" t="s">
        <v>1563</v>
      </c>
      <c r="BJ27" s="4" t="s">
        <v>1563</v>
      </c>
      <c r="BK27" s="4" t="s">
        <v>1563</v>
      </c>
      <c r="BL27" s="4" t="s">
        <v>1563</v>
      </c>
      <c r="BM27" s="4" t="s">
        <v>1563</v>
      </c>
    </row>
    <row r="28" spans="1:65" ht="16" x14ac:dyDescent="0.2">
      <c r="A28" s="16"/>
      <c r="B28" s="16"/>
      <c r="C28" s="16"/>
      <c r="D28" s="16"/>
      <c r="AI28" s="6">
        <f>(AI23/AI25)*100</f>
        <v>89.1</v>
      </c>
      <c r="AJ28" s="6">
        <f>(AJ23/AJ25)*100</f>
        <v>84.36363636363636</v>
      </c>
      <c r="AK28" s="6">
        <f>(AK23/AK25)*100</f>
        <v>86.705882352941174</v>
      </c>
      <c r="AL28" s="6">
        <f>(AL23/AL25)*100</f>
        <v>87.481443298969069</v>
      </c>
      <c r="AM28" s="6">
        <f>(AM23/AM25)*100</f>
        <v>88.556692913385831</v>
      </c>
      <c r="AN28" s="6">
        <f t="shared" ref="AN28:BM28" si="45">(AN23/AN25)*100</f>
        <v>85.898757763975155</v>
      </c>
      <c r="AO28" s="6">
        <f t="shared" si="45"/>
        <v>85.181122448979579</v>
      </c>
      <c r="AP28" s="6">
        <f t="shared" si="45"/>
        <v>83.881779661016935</v>
      </c>
      <c r="AQ28" s="6">
        <f t="shared" si="45"/>
        <v>82.806859205776178</v>
      </c>
      <c r="AR28" s="6">
        <f t="shared" si="45"/>
        <v>81.484161490683221</v>
      </c>
      <c r="AS28" s="6">
        <f t="shared" si="45"/>
        <v>81.251621621621624</v>
      </c>
      <c r="AT28" s="6">
        <f t="shared" si="45"/>
        <v>81.436817102137766</v>
      </c>
      <c r="AU28" s="6">
        <f t="shared" si="45"/>
        <v>81.827368421052626</v>
      </c>
      <c r="AV28" s="6">
        <f t="shared" si="45"/>
        <v>82.108442776735458</v>
      </c>
      <c r="AW28" s="6">
        <f t="shared" si="45"/>
        <v>82.928403361344536</v>
      </c>
      <c r="AX28" s="6">
        <f t="shared" si="45"/>
        <v>83.591225416036309</v>
      </c>
      <c r="AY28" s="6">
        <f t="shared" si="45"/>
        <v>84.041586867305071</v>
      </c>
      <c r="AZ28" s="6">
        <f t="shared" si="45"/>
        <v>84.357763975155279</v>
      </c>
      <c r="BA28" s="6">
        <f t="shared" si="45"/>
        <v>84.481540203850514</v>
      </c>
      <c r="BB28" s="6">
        <f t="shared" si="45"/>
        <v>84.765072765072773</v>
      </c>
      <c r="BC28" s="6">
        <f t="shared" si="45"/>
        <v>85.038520653218058</v>
      </c>
      <c r="BD28" s="6">
        <f t="shared" si="45"/>
        <v>84.521600000000007</v>
      </c>
      <c r="BE28" s="6">
        <f t="shared" si="45"/>
        <v>84.376465730800987</v>
      </c>
      <c r="BF28" s="6">
        <f t="shared" si="45"/>
        <v>84.192153846153843</v>
      </c>
      <c r="BG28" s="6">
        <f t="shared" si="45"/>
        <v>83.714275466284064</v>
      </c>
      <c r="BH28" s="6">
        <f t="shared" si="45"/>
        <v>83.288479571332886</v>
      </c>
      <c r="BI28" s="6">
        <f t="shared" si="45"/>
        <v>83.17113337507827</v>
      </c>
      <c r="BJ28" s="6">
        <f t="shared" si="45"/>
        <v>82.576422287390031</v>
      </c>
      <c r="BK28" s="6">
        <f t="shared" si="45"/>
        <v>81.283058305830579</v>
      </c>
      <c r="BL28" s="6">
        <f t="shared" si="45"/>
        <v>80.095400516795863</v>
      </c>
      <c r="BM28" s="6">
        <f t="shared" si="45"/>
        <v>78.838910505836566</v>
      </c>
    </row>
    <row r="29" spans="1:65" ht="16" x14ac:dyDescent="0.2">
      <c r="A29" s="16"/>
      <c r="B29" s="16"/>
      <c r="C29" s="16"/>
      <c r="D29" s="16"/>
    </row>
    <row r="30" spans="1:65" ht="16" x14ac:dyDescent="0.2">
      <c r="A30" s="16"/>
      <c r="B30" s="16"/>
      <c r="C30" s="16"/>
      <c r="D30" s="16"/>
    </row>
    <row r="31" spans="1:65" ht="16" x14ac:dyDescent="0.2">
      <c r="A31" s="16"/>
      <c r="B31" s="16"/>
      <c r="C31" s="16"/>
      <c r="D31" s="16"/>
    </row>
    <row r="32" spans="1:65" ht="16" x14ac:dyDescent="0.2">
      <c r="A32" s="16"/>
      <c r="B32" s="16"/>
      <c r="C32" s="16"/>
      <c r="D32" s="16"/>
    </row>
    <row r="33" spans="1:4" ht="16" x14ac:dyDescent="0.2">
      <c r="A33" s="16"/>
      <c r="B33" s="16"/>
      <c r="C33" s="16"/>
      <c r="D33" s="16"/>
    </row>
    <row r="34" spans="1:4" ht="16" x14ac:dyDescent="0.2">
      <c r="A34" s="16"/>
      <c r="B34" s="16"/>
      <c r="C34" s="16"/>
      <c r="D34" s="16"/>
    </row>
    <row r="35" spans="1:4" ht="16" x14ac:dyDescent="0.2">
      <c r="A35" s="16"/>
      <c r="B35" s="16"/>
      <c r="C35" s="16"/>
      <c r="D35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U40"/>
  <sheetViews>
    <sheetView topLeftCell="L10" workbookViewId="0">
      <selection activeCell="V39" sqref="V39:AN39"/>
    </sheetView>
  </sheetViews>
  <sheetFormatPr baseColWidth="10" defaultRowHeight="15" x14ac:dyDescent="0.2"/>
  <sheetData>
    <row r="1" spans="1:40" x14ac:dyDescent="0.2">
      <c r="A1" s="3" t="s">
        <v>15</v>
      </c>
      <c r="B1" s="3">
        <v>1948</v>
      </c>
      <c r="C1" s="3">
        <v>1953</v>
      </c>
      <c r="D1" s="3">
        <v>1958</v>
      </c>
      <c r="E1" s="3">
        <v>1963</v>
      </c>
      <c r="F1" s="3">
        <v>1968</v>
      </c>
      <c r="G1" s="3">
        <v>1972</v>
      </c>
      <c r="H1" s="3">
        <v>1976</v>
      </c>
      <c r="I1" s="3">
        <v>1979</v>
      </c>
      <c r="J1" s="3">
        <v>1983</v>
      </c>
      <c r="K1" s="3">
        <v>1987</v>
      </c>
      <c r="L1" s="3">
        <v>1992</v>
      </c>
      <c r="M1" s="3">
        <v>1994</v>
      </c>
      <c r="N1" s="3">
        <v>1996</v>
      </c>
      <c r="O1" s="3">
        <v>2001</v>
      </c>
      <c r="P1" s="3">
        <v>2006</v>
      </c>
      <c r="Q1" s="3">
        <v>2008</v>
      </c>
      <c r="R1" s="3">
        <v>2013</v>
      </c>
      <c r="S1" s="3">
        <v>2018</v>
      </c>
      <c r="T1" s="3">
        <v>2022</v>
      </c>
      <c r="V1" s="3">
        <v>1948</v>
      </c>
      <c r="W1" s="3">
        <v>1953</v>
      </c>
      <c r="X1" s="3">
        <v>1958</v>
      </c>
      <c r="Y1" s="3">
        <v>1963</v>
      </c>
      <c r="Z1" s="3">
        <v>1968</v>
      </c>
      <c r="AA1" s="3">
        <v>1972</v>
      </c>
      <c r="AB1" s="3">
        <v>1976</v>
      </c>
      <c r="AC1" s="3">
        <v>1979</v>
      </c>
      <c r="AD1" s="3">
        <v>1983</v>
      </c>
      <c r="AE1" s="3">
        <v>1987</v>
      </c>
      <c r="AF1" s="3">
        <v>1992</v>
      </c>
      <c r="AG1" s="3">
        <v>1994</v>
      </c>
      <c r="AH1" s="3">
        <v>1996</v>
      </c>
      <c r="AI1" s="3">
        <v>2001</v>
      </c>
      <c r="AJ1" s="3">
        <v>2006</v>
      </c>
      <c r="AK1" s="3">
        <v>2008</v>
      </c>
      <c r="AL1" s="3">
        <v>2013</v>
      </c>
      <c r="AM1" s="3">
        <v>2018</v>
      </c>
      <c r="AN1" s="3">
        <v>2022</v>
      </c>
    </row>
    <row r="2" spans="1:40" x14ac:dyDescent="0.2">
      <c r="A2" s="1" t="s">
        <v>392</v>
      </c>
      <c r="B2" s="1">
        <v>48.5</v>
      </c>
      <c r="C2" s="1">
        <v>40.1</v>
      </c>
      <c r="D2" s="1">
        <v>42.4</v>
      </c>
      <c r="E2" s="1">
        <v>38.299999999999997</v>
      </c>
      <c r="F2" s="1">
        <v>39.1</v>
      </c>
      <c r="G2" s="1">
        <v>38.700000000000003</v>
      </c>
      <c r="H2" s="1">
        <v>38.700000000000003</v>
      </c>
      <c r="I2" s="1">
        <v>38.299999999999997</v>
      </c>
      <c r="J2" s="1">
        <v>32.9</v>
      </c>
      <c r="K2" s="1">
        <v>34.299999999999997</v>
      </c>
      <c r="L2" s="1">
        <v>29.7</v>
      </c>
      <c r="M2" s="1">
        <v>11.1</v>
      </c>
      <c r="N2" s="1">
        <v>6.8</v>
      </c>
      <c r="O2" s="1"/>
      <c r="P2" s="1"/>
      <c r="Q2" s="1"/>
      <c r="R2" s="1"/>
      <c r="U2" s="1"/>
      <c r="V2" s="1">
        <v>48.5</v>
      </c>
      <c r="W2" s="1">
        <f>(C2*0.25)+C2</f>
        <v>50.125</v>
      </c>
      <c r="X2" s="1">
        <f>(D2*0.5)+D2</f>
        <v>63.599999999999994</v>
      </c>
      <c r="Y2" s="1">
        <f>(E2*0.75)+E2</f>
        <v>67.024999999999991</v>
      </c>
      <c r="Z2" s="1">
        <f>(F2*1)+F2</f>
        <v>78.2</v>
      </c>
      <c r="AA2" s="1">
        <f>(G2*1.2)+G2</f>
        <v>85.140000000000015</v>
      </c>
      <c r="AB2" s="1">
        <f>(H2*1.4)+H2</f>
        <v>92.88</v>
      </c>
      <c r="AC2" s="1">
        <f>(I2*1.55)+I2</f>
        <v>97.664999999999992</v>
      </c>
      <c r="AD2" s="1">
        <f>(J2*1.75)+J2</f>
        <v>90.474999999999994</v>
      </c>
      <c r="AE2" s="1">
        <f>(K2*1.95)+K2</f>
        <v>101.18499999999999</v>
      </c>
      <c r="AF2" s="1">
        <f>(L2*2.2)+L2</f>
        <v>95.04</v>
      </c>
      <c r="AG2" s="1">
        <f>(M2*2.3)+M2</f>
        <v>36.629999999999995</v>
      </c>
      <c r="AH2" s="1">
        <f>(N2*2.4)+N2</f>
        <v>23.12</v>
      </c>
      <c r="AI2" s="1"/>
      <c r="AJ2" s="1"/>
      <c r="AK2" s="1"/>
      <c r="AL2" s="1"/>
    </row>
    <row r="3" spans="1:40" x14ac:dyDescent="0.2">
      <c r="A3" s="1" t="s">
        <v>398</v>
      </c>
      <c r="B3" s="1">
        <v>31</v>
      </c>
      <c r="C3" s="1">
        <v>22.6</v>
      </c>
      <c r="D3" s="1">
        <v>22.7</v>
      </c>
      <c r="E3" s="1">
        <v>25.3</v>
      </c>
      <c r="F3" s="1">
        <v>26.9</v>
      </c>
      <c r="G3" s="1">
        <v>27.2</v>
      </c>
      <c r="H3" s="1">
        <v>34.4</v>
      </c>
      <c r="I3" s="1">
        <v>30.4</v>
      </c>
      <c r="J3" s="1">
        <v>29.9</v>
      </c>
      <c r="K3" s="1">
        <v>26.6</v>
      </c>
      <c r="L3" s="1">
        <v>16.100000000000001</v>
      </c>
      <c r="M3" s="1">
        <v>20.399999999999999</v>
      </c>
      <c r="N3" s="1">
        <v>21.1</v>
      </c>
      <c r="O3" s="1">
        <v>16.600000000000001</v>
      </c>
      <c r="P3" s="1"/>
      <c r="Q3" s="1"/>
      <c r="R3" s="1"/>
      <c r="U3" s="1"/>
      <c r="V3" s="1">
        <v>31</v>
      </c>
      <c r="W3" s="1">
        <f t="shared" ref="W3:W10" si="0">(C3*0.25)+C3</f>
        <v>28.25</v>
      </c>
      <c r="X3" s="1">
        <f t="shared" ref="X3:X10" si="1">(D3*0.5)+D3</f>
        <v>34.049999999999997</v>
      </c>
      <c r="Y3" s="1">
        <f t="shared" ref="Y3:Y10" si="2">(E3*0.75)+E3</f>
        <v>44.275000000000006</v>
      </c>
      <c r="Z3" s="1">
        <f t="shared" ref="Z3:Z10" si="3">(F3*1)+F3</f>
        <v>53.8</v>
      </c>
      <c r="AA3" s="1">
        <f t="shared" ref="AA3:AA10" si="4">(G3*1.2)+G3</f>
        <v>59.84</v>
      </c>
      <c r="AB3" s="1">
        <f t="shared" ref="AB3:AB10" si="5">(H3*1.4)+H3</f>
        <v>82.56</v>
      </c>
      <c r="AC3" s="1">
        <f t="shared" ref="AC3:AC10" si="6">(I3*1.55)+I3</f>
        <v>77.52</v>
      </c>
      <c r="AD3" s="1">
        <f t="shared" ref="AD3:AD10" si="7">(J3*1.75)+J3</f>
        <v>82.224999999999994</v>
      </c>
      <c r="AE3" s="1">
        <f t="shared" ref="AE3:AE10" si="8">(K3*1.95)+K3</f>
        <v>78.47</v>
      </c>
      <c r="AF3" s="1">
        <f t="shared" ref="AF3:AF10" si="9">(L3*2.2)+L3</f>
        <v>51.52000000000001</v>
      </c>
      <c r="AG3" s="1">
        <f t="shared" ref="AG3:AG10" si="10">(M3*2.3)+M3</f>
        <v>67.319999999999993</v>
      </c>
      <c r="AH3" s="1">
        <f>(N3*2.4)+N3</f>
        <v>71.740000000000009</v>
      </c>
      <c r="AI3" s="1">
        <f>(O3*2.65)+O3</f>
        <v>60.59</v>
      </c>
      <c r="AJ3" s="1"/>
      <c r="AK3" s="1"/>
      <c r="AL3" s="1"/>
    </row>
    <row r="4" spans="1:40" x14ac:dyDescent="0.2">
      <c r="A4" s="1" t="s">
        <v>299</v>
      </c>
      <c r="B4" s="1"/>
      <c r="C4" s="3">
        <v>12.7</v>
      </c>
      <c r="D4" s="1">
        <v>14.2</v>
      </c>
      <c r="E4" s="1">
        <v>13.8</v>
      </c>
      <c r="F4" s="1"/>
      <c r="G4" s="1">
        <v>9.6</v>
      </c>
      <c r="H4" s="1">
        <v>9.6</v>
      </c>
      <c r="I4" s="1">
        <v>9.8000000000000007</v>
      </c>
      <c r="J4" s="1">
        <v>11.4</v>
      </c>
      <c r="K4" s="1">
        <v>14.3</v>
      </c>
      <c r="L4" s="1">
        <v>13.6</v>
      </c>
      <c r="M4" s="1">
        <v>2.2000000000000002</v>
      </c>
      <c r="N4" s="1"/>
      <c r="O4" s="1"/>
      <c r="P4" s="1"/>
      <c r="Q4" s="1"/>
      <c r="R4" s="1"/>
      <c r="U4" s="1"/>
      <c r="V4" s="1"/>
      <c r="W4" s="1">
        <f t="shared" si="0"/>
        <v>15.875</v>
      </c>
      <c r="X4" s="1">
        <f t="shared" si="1"/>
        <v>21.299999999999997</v>
      </c>
      <c r="Y4" s="1">
        <f t="shared" si="2"/>
        <v>24.150000000000002</v>
      </c>
      <c r="Z4" s="1">
        <f t="shared" si="3"/>
        <v>0</v>
      </c>
      <c r="AA4" s="1">
        <f t="shared" si="4"/>
        <v>21.119999999999997</v>
      </c>
      <c r="AB4" s="1">
        <f t="shared" si="5"/>
        <v>23.04</v>
      </c>
      <c r="AC4" s="1">
        <f t="shared" si="6"/>
        <v>24.990000000000002</v>
      </c>
      <c r="AD4" s="1">
        <f t="shared" si="7"/>
        <v>31.35</v>
      </c>
      <c r="AE4" s="1">
        <f t="shared" si="8"/>
        <v>42.185000000000002</v>
      </c>
      <c r="AF4" s="1">
        <f t="shared" si="9"/>
        <v>43.52</v>
      </c>
      <c r="AG4" s="1">
        <f t="shared" si="10"/>
        <v>7.26</v>
      </c>
      <c r="AH4" s="1"/>
      <c r="AI4" s="1"/>
      <c r="AJ4" s="1"/>
      <c r="AK4" s="1"/>
      <c r="AL4" s="1"/>
    </row>
    <row r="5" spans="1:40" x14ac:dyDescent="0.2">
      <c r="A5" s="1" t="s">
        <v>329</v>
      </c>
      <c r="B5" s="1"/>
      <c r="C5" s="3"/>
      <c r="D5" s="1"/>
      <c r="E5" s="1"/>
      <c r="F5" s="1">
        <v>14.5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U5" s="1"/>
      <c r="V5" s="1"/>
      <c r="W5" s="1"/>
      <c r="X5" s="1"/>
      <c r="Y5" s="1"/>
      <c r="Z5" s="1">
        <v>14.5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0" x14ac:dyDescent="0.2">
      <c r="A6" s="1" t="s">
        <v>300</v>
      </c>
      <c r="B6" s="1">
        <v>7.1</v>
      </c>
      <c r="C6" s="1">
        <v>4.5</v>
      </c>
      <c r="D6" s="1">
        <v>4.5999999999999996</v>
      </c>
      <c r="E6" s="1">
        <v>6.1</v>
      </c>
      <c r="F6" s="1"/>
      <c r="G6" s="1">
        <v>5.0999999999999996</v>
      </c>
      <c r="H6" s="1">
        <v>3.4</v>
      </c>
      <c r="I6" s="1">
        <v>3.8</v>
      </c>
      <c r="J6" s="1">
        <v>4.0999999999999996</v>
      </c>
      <c r="K6" s="1">
        <v>3</v>
      </c>
      <c r="L6" s="1">
        <v>2.7</v>
      </c>
      <c r="M6" s="1">
        <v>0.5</v>
      </c>
      <c r="N6" s="1"/>
      <c r="O6" s="1"/>
      <c r="P6" s="1"/>
      <c r="Q6" s="1"/>
      <c r="R6" s="1"/>
      <c r="U6" s="1"/>
      <c r="V6" s="1">
        <v>7.1</v>
      </c>
      <c r="W6" s="1">
        <f t="shared" si="0"/>
        <v>5.625</v>
      </c>
      <c r="X6" s="1">
        <f t="shared" si="1"/>
        <v>6.8999999999999995</v>
      </c>
      <c r="Y6" s="1">
        <f t="shared" si="2"/>
        <v>10.674999999999999</v>
      </c>
      <c r="Z6" s="1">
        <f t="shared" si="3"/>
        <v>0</v>
      </c>
      <c r="AA6" s="1">
        <f t="shared" si="4"/>
        <v>11.219999999999999</v>
      </c>
      <c r="AB6" s="1">
        <f t="shared" si="5"/>
        <v>8.16</v>
      </c>
      <c r="AC6" s="1">
        <f t="shared" si="6"/>
        <v>9.69</v>
      </c>
      <c r="AD6" s="1">
        <f t="shared" si="7"/>
        <v>11.274999999999999</v>
      </c>
      <c r="AE6" s="1">
        <f t="shared" si="8"/>
        <v>8.85</v>
      </c>
      <c r="AF6" s="1">
        <f t="shared" si="9"/>
        <v>8.64</v>
      </c>
      <c r="AG6" s="1">
        <f t="shared" si="10"/>
        <v>1.65</v>
      </c>
      <c r="AH6" s="1"/>
      <c r="AI6" s="1"/>
      <c r="AJ6" s="1"/>
      <c r="AK6" s="1"/>
      <c r="AL6" s="1"/>
    </row>
    <row r="7" spans="1:40" x14ac:dyDescent="0.2">
      <c r="A7" s="1" t="s">
        <v>301</v>
      </c>
      <c r="B7" s="1">
        <v>3.8</v>
      </c>
      <c r="C7" s="1">
        <v>3</v>
      </c>
      <c r="D7" s="1">
        <v>3.5</v>
      </c>
      <c r="E7" s="1">
        <v>7</v>
      </c>
      <c r="F7" s="1">
        <v>5.8</v>
      </c>
      <c r="G7" s="1">
        <v>3.9</v>
      </c>
      <c r="H7" s="1">
        <v>1.3</v>
      </c>
      <c r="I7" s="1">
        <v>1.9</v>
      </c>
      <c r="J7" s="1">
        <v>2.9</v>
      </c>
      <c r="K7" s="1">
        <v>2.1</v>
      </c>
      <c r="L7" s="1">
        <v>2.9</v>
      </c>
      <c r="M7" s="1"/>
      <c r="N7" s="1"/>
      <c r="O7" s="1"/>
      <c r="P7" s="1"/>
      <c r="Q7" s="1"/>
      <c r="R7" s="1"/>
      <c r="U7" s="1"/>
      <c r="V7" s="1">
        <v>3.8</v>
      </c>
      <c r="W7" s="1">
        <f t="shared" si="0"/>
        <v>3.75</v>
      </c>
      <c r="X7" s="1">
        <f t="shared" si="1"/>
        <v>5.25</v>
      </c>
      <c r="Y7" s="1">
        <f t="shared" si="2"/>
        <v>12.25</v>
      </c>
      <c r="Z7" s="1">
        <f t="shared" si="3"/>
        <v>11.6</v>
      </c>
      <c r="AA7" s="1">
        <f t="shared" si="4"/>
        <v>8.58</v>
      </c>
      <c r="AB7" s="1">
        <f t="shared" si="5"/>
        <v>3.12</v>
      </c>
      <c r="AC7" s="1">
        <f t="shared" si="6"/>
        <v>4.8449999999999998</v>
      </c>
      <c r="AD7" s="1">
        <f t="shared" si="7"/>
        <v>7.9749999999999996</v>
      </c>
      <c r="AE7" s="1">
        <f t="shared" si="8"/>
        <v>6.1950000000000003</v>
      </c>
      <c r="AF7" s="1">
        <f t="shared" si="9"/>
        <v>9.2799999999999994</v>
      </c>
      <c r="AG7" s="1"/>
      <c r="AH7" s="1"/>
      <c r="AI7" s="1"/>
      <c r="AJ7" s="1"/>
      <c r="AK7" s="1"/>
      <c r="AL7" s="1"/>
    </row>
    <row r="8" spans="1:40" x14ac:dyDescent="0.2">
      <c r="A8" s="1" t="s">
        <v>304</v>
      </c>
      <c r="B8" s="1">
        <v>2.8</v>
      </c>
      <c r="C8" s="1">
        <v>6.9</v>
      </c>
      <c r="D8" s="1">
        <v>2.2000000000000002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U8" s="1"/>
      <c r="V8" s="1">
        <v>2.8</v>
      </c>
      <c r="W8" s="1">
        <f t="shared" si="0"/>
        <v>8.625</v>
      </c>
      <c r="X8" s="1">
        <f t="shared" si="1"/>
        <v>3.3000000000000003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40" x14ac:dyDescent="0.2">
      <c r="A9" s="1" t="s">
        <v>302</v>
      </c>
      <c r="B9" s="1">
        <v>2.5</v>
      </c>
      <c r="C9" s="1">
        <v>1.6</v>
      </c>
      <c r="D9" s="1">
        <v>1.4</v>
      </c>
      <c r="E9" s="1">
        <v>1.4</v>
      </c>
      <c r="F9" s="1">
        <v>2</v>
      </c>
      <c r="G9" s="1">
        <v>2.9</v>
      </c>
      <c r="H9" s="1">
        <v>3.1</v>
      </c>
      <c r="I9" s="1">
        <v>3</v>
      </c>
      <c r="J9" s="1">
        <v>5.0999999999999996</v>
      </c>
      <c r="K9" s="1">
        <v>3.7</v>
      </c>
      <c r="L9" s="1">
        <v>4.4000000000000004</v>
      </c>
      <c r="M9" s="1"/>
      <c r="N9" s="1"/>
      <c r="O9" s="1"/>
      <c r="P9" s="1"/>
      <c r="Q9" s="1"/>
      <c r="R9" s="1"/>
      <c r="U9" s="1"/>
      <c r="V9" s="1">
        <v>2.5</v>
      </c>
      <c r="W9" s="1">
        <f t="shared" si="0"/>
        <v>2</v>
      </c>
      <c r="X9" s="1">
        <f t="shared" si="1"/>
        <v>2.0999999999999996</v>
      </c>
      <c r="Y9" s="1">
        <f t="shared" si="2"/>
        <v>2.4499999999999997</v>
      </c>
      <c r="Z9" s="1">
        <f t="shared" si="3"/>
        <v>4</v>
      </c>
      <c r="AA9" s="1">
        <f t="shared" si="4"/>
        <v>6.38</v>
      </c>
      <c r="AB9" s="1">
        <f t="shared" si="5"/>
        <v>7.4399999999999995</v>
      </c>
      <c r="AC9" s="1">
        <f t="shared" si="6"/>
        <v>7.65</v>
      </c>
      <c r="AD9" s="1">
        <f t="shared" si="7"/>
        <v>14.024999999999999</v>
      </c>
      <c r="AE9" s="1">
        <f t="shared" si="8"/>
        <v>10.914999999999999</v>
      </c>
      <c r="AF9" s="1">
        <f t="shared" si="9"/>
        <v>14.080000000000002</v>
      </c>
      <c r="AG9" s="1"/>
      <c r="AH9" s="1"/>
      <c r="AI9" s="1"/>
      <c r="AJ9" s="1"/>
      <c r="AK9" s="1"/>
      <c r="AL9" s="1"/>
    </row>
    <row r="10" spans="1:40" x14ac:dyDescent="0.2">
      <c r="A10" s="1" t="s">
        <v>393</v>
      </c>
      <c r="B10" s="1">
        <v>2</v>
      </c>
      <c r="C10" s="1">
        <v>5.8</v>
      </c>
      <c r="D10" s="1">
        <v>4.8</v>
      </c>
      <c r="E10" s="1">
        <v>5.0999999999999996</v>
      </c>
      <c r="F10" s="1">
        <v>4.5</v>
      </c>
      <c r="G10" s="1">
        <v>8.6999999999999993</v>
      </c>
      <c r="H10" s="1">
        <v>6.1</v>
      </c>
      <c r="I10" s="1">
        <v>5.3</v>
      </c>
      <c r="J10" s="1">
        <v>6.8</v>
      </c>
      <c r="K10" s="1">
        <v>5.9</v>
      </c>
      <c r="L10" s="1">
        <v>5.4</v>
      </c>
      <c r="M10" s="1">
        <v>13.5</v>
      </c>
      <c r="N10" s="1">
        <v>15.7</v>
      </c>
      <c r="O10" s="1">
        <v>12</v>
      </c>
      <c r="P10" s="1">
        <v>12.3</v>
      </c>
      <c r="Q10" s="1"/>
      <c r="R10" s="1"/>
      <c r="U10" s="1"/>
      <c r="V10" s="1">
        <v>2</v>
      </c>
      <c r="W10" s="1">
        <f t="shared" si="0"/>
        <v>7.25</v>
      </c>
      <c r="X10" s="1">
        <f t="shared" si="1"/>
        <v>7.1999999999999993</v>
      </c>
      <c r="Y10" s="1">
        <f t="shared" si="2"/>
        <v>8.9249999999999989</v>
      </c>
      <c r="Z10" s="1">
        <f t="shared" si="3"/>
        <v>9</v>
      </c>
      <c r="AA10" s="1">
        <f t="shared" si="4"/>
        <v>19.14</v>
      </c>
      <c r="AB10" s="1">
        <f t="shared" si="5"/>
        <v>14.639999999999999</v>
      </c>
      <c r="AC10" s="1">
        <f t="shared" si="6"/>
        <v>13.515000000000001</v>
      </c>
      <c r="AD10" s="1">
        <f t="shared" si="7"/>
        <v>18.7</v>
      </c>
      <c r="AE10" s="1">
        <f t="shared" si="8"/>
        <v>17.405000000000001</v>
      </c>
      <c r="AF10" s="1">
        <f t="shared" si="9"/>
        <v>17.28</v>
      </c>
      <c r="AG10" s="1">
        <f t="shared" si="10"/>
        <v>44.55</v>
      </c>
      <c r="AH10" s="1">
        <f>(N10*2.4)+N10</f>
        <v>53.379999999999995</v>
      </c>
      <c r="AI10" s="1">
        <f>(O10*2.65)+O10</f>
        <v>43.8</v>
      </c>
      <c r="AJ10" s="1">
        <f>(P10*2.9)+P10</f>
        <v>47.97</v>
      </c>
      <c r="AK10" s="1"/>
      <c r="AL10" s="1"/>
    </row>
    <row r="11" spans="1:40" x14ac:dyDescent="0.2">
      <c r="A11" s="1" t="s">
        <v>153</v>
      </c>
      <c r="H11" s="3">
        <v>1.1000000000000001</v>
      </c>
      <c r="I11" s="1">
        <v>3.5</v>
      </c>
      <c r="J11" s="1">
        <v>2.2000000000000002</v>
      </c>
      <c r="K11" s="1">
        <v>2.6</v>
      </c>
      <c r="L11" s="1"/>
      <c r="M11" s="1"/>
      <c r="N11" s="1"/>
      <c r="O11" s="1"/>
      <c r="P11" s="1"/>
      <c r="Q11" s="1"/>
      <c r="R11" s="1"/>
      <c r="U11" s="1"/>
      <c r="V11" s="1"/>
      <c r="W11" s="1"/>
      <c r="X11" s="1"/>
      <c r="Y11" s="1"/>
      <c r="Z11" s="1"/>
      <c r="AA11" s="1"/>
      <c r="AB11" s="1">
        <f>(H11*0.9)+H11</f>
        <v>2.0900000000000003</v>
      </c>
      <c r="AC11" s="1">
        <f>(I11*1.05)+I11</f>
        <v>7.1750000000000007</v>
      </c>
      <c r="AD11" s="1">
        <f>(J11*1.25)+J11</f>
        <v>4.95</v>
      </c>
      <c r="AE11" s="1">
        <f>(K11*1.45)+K11</f>
        <v>6.37</v>
      </c>
      <c r="AF11" s="1"/>
      <c r="AG11" s="1"/>
      <c r="AH11" s="1"/>
      <c r="AI11" s="1"/>
      <c r="AJ11" s="1"/>
      <c r="AK11" s="1"/>
      <c r="AL11" s="1"/>
    </row>
    <row r="12" spans="1:40" x14ac:dyDescent="0.2">
      <c r="A12" s="1" t="s">
        <v>1505</v>
      </c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T12" s="1">
        <v>7.8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N12" s="1">
        <v>7.8</v>
      </c>
    </row>
    <row r="13" spans="1:40" x14ac:dyDescent="0.2">
      <c r="A13" s="1" t="s">
        <v>1284</v>
      </c>
      <c r="F13" s="1">
        <v>4.5</v>
      </c>
      <c r="G13" s="1">
        <v>1.9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U13" s="1"/>
      <c r="V13" s="1"/>
      <c r="W13" s="1"/>
      <c r="X13" s="1"/>
      <c r="Y13" s="1"/>
      <c r="Z13" s="1">
        <v>4.5</v>
      </c>
      <c r="AA13" s="1">
        <f>(G13*0.2)+G13</f>
        <v>2.2799999999999998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40" x14ac:dyDescent="0.2">
      <c r="A14" s="1" t="s">
        <v>390</v>
      </c>
      <c r="L14" s="1">
        <v>8.6999999999999993</v>
      </c>
      <c r="M14" s="1">
        <v>8.4</v>
      </c>
      <c r="N14" s="1">
        <v>10.1</v>
      </c>
      <c r="O14" s="1">
        <v>3.9</v>
      </c>
      <c r="P14" s="1">
        <v>4.5999999999999996</v>
      </c>
      <c r="Q14" s="1">
        <v>8.3000000000000007</v>
      </c>
      <c r="R14" s="1">
        <v>4.0999999999999996</v>
      </c>
      <c r="S14" s="1">
        <v>17.399999999999999</v>
      </c>
      <c r="T14" s="1">
        <v>8.8000000000000007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>
        <v>8.6999999999999993</v>
      </c>
      <c r="AG14" s="1">
        <f>(M14*0.1)+M14</f>
        <v>9.24</v>
      </c>
      <c r="AH14" s="1">
        <f>(N14*0.2)+N14</f>
        <v>12.12</v>
      </c>
      <c r="AI14" s="1">
        <f>(O14*0.45)+O14</f>
        <v>5.6549999999999994</v>
      </c>
      <c r="AJ14" s="1">
        <f>(P14*0.7)+P14</f>
        <v>7.8199999999999994</v>
      </c>
      <c r="AK14" s="1">
        <f>(Q14*0.8)+Q14</f>
        <v>14.940000000000001</v>
      </c>
      <c r="AL14" s="1">
        <f>(R14*1.05)+R14</f>
        <v>8.4049999999999994</v>
      </c>
      <c r="AM14" s="1">
        <f>(S14*1.3)+S14</f>
        <v>40.019999999999996</v>
      </c>
      <c r="AN14" s="1">
        <f>(T14*1.5)+T14</f>
        <v>22</v>
      </c>
    </row>
    <row r="15" spans="1:40" x14ac:dyDescent="0.2">
      <c r="A15" s="1" t="s">
        <v>223</v>
      </c>
      <c r="L15" s="1">
        <v>5.6</v>
      </c>
      <c r="M15" s="1">
        <v>6.1</v>
      </c>
      <c r="N15" s="1">
        <v>8.6</v>
      </c>
      <c r="O15" s="1">
        <v>5</v>
      </c>
      <c r="P15" s="1">
        <v>5.8</v>
      </c>
      <c r="Q15" s="1">
        <v>3.1</v>
      </c>
      <c r="R15" s="1">
        <v>2.2999999999999998</v>
      </c>
      <c r="S15" s="1">
        <v>1.1000000000000001</v>
      </c>
      <c r="T15" s="1">
        <v>1.4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>
        <v>5.6</v>
      </c>
      <c r="AG15" s="1">
        <f>(M15*0.1)+M15</f>
        <v>6.71</v>
      </c>
      <c r="AH15" s="1">
        <f>(N15*0.2)+N15</f>
        <v>10.32</v>
      </c>
      <c r="AI15" s="1">
        <f>(O15*0.45)+O15</f>
        <v>7.25</v>
      </c>
      <c r="AJ15" s="1">
        <f>(P15*0.7)+P15</f>
        <v>9.86</v>
      </c>
      <c r="AK15" s="1">
        <f>(Q15*0.8)+Q15</f>
        <v>5.58</v>
      </c>
      <c r="AL15" s="1">
        <f>(R15*1.05)+R15</f>
        <v>4.7149999999999999</v>
      </c>
      <c r="AM15" s="1">
        <f>(S15*1.3)+S15</f>
        <v>2.5300000000000002</v>
      </c>
      <c r="AN15" s="1">
        <f>(T15*1.5)+T15</f>
        <v>3.4999999999999996</v>
      </c>
    </row>
    <row r="16" spans="1:40" x14ac:dyDescent="0.2">
      <c r="A16" s="1" t="s">
        <v>19</v>
      </c>
      <c r="L16" s="1"/>
      <c r="M16" s="1">
        <v>4.7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>
        <v>4.7</v>
      </c>
      <c r="AH16" s="1"/>
      <c r="AI16" s="1"/>
      <c r="AJ16" s="1"/>
      <c r="AK16" s="1"/>
      <c r="AL16" s="1"/>
      <c r="AM16" s="1"/>
      <c r="AN16" s="1"/>
    </row>
    <row r="17" spans="1:40" x14ac:dyDescent="0.2">
      <c r="A17" s="1" t="s">
        <v>446</v>
      </c>
      <c r="L17" s="1">
        <v>1.2</v>
      </c>
      <c r="M17" s="1">
        <v>3.5</v>
      </c>
      <c r="N17" s="1">
        <v>1.9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>
        <v>1.2</v>
      </c>
      <c r="AG17" s="1">
        <f>(M17*0.1)+M17</f>
        <v>3.85</v>
      </c>
      <c r="AH17" s="1">
        <f>(N17*0.2)+N17</f>
        <v>2.2799999999999998</v>
      </c>
      <c r="AI17" s="1"/>
      <c r="AJ17" s="1"/>
      <c r="AK17" s="1"/>
      <c r="AL17" s="1"/>
      <c r="AM17" s="1"/>
      <c r="AN17" s="1"/>
    </row>
    <row r="18" spans="1:40" x14ac:dyDescent="0.2">
      <c r="A18" s="1" t="s">
        <v>391</v>
      </c>
      <c r="L18" s="1"/>
      <c r="M18" s="1">
        <v>21</v>
      </c>
      <c r="N18" s="1">
        <v>20.6</v>
      </c>
      <c r="O18" s="1">
        <v>29.4</v>
      </c>
      <c r="P18" s="1">
        <v>23.7</v>
      </c>
      <c r="Q18" s="1"/>
      <c r="R18" s="1"/>
      <c r="S18" s="3">
        <v>14</v>
      </c>
      <c r="T18" s="1">
        <v>8.1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G18" s="1">
        <v>21</v>
      </c>
      <c r="AH18" s="1">
        <f>(N18*0.1)+N18</f>
        <v>22.66</v>
      </c>
      <c r="AI18" s="1">
        <f>(O18*0.35)+O18</f>
        <v>39.69</v>
      </c>
      <c r="AJ18" s="1">
        <f>(P18*0.6)+P18</f>
        <v>37.92</v>
      </c>
      <c r="AK18" s="1"/>
      <c r="AL18" s="1"/>
      <c r="AM18" s="1">
        <f>(S18*0.85)+S18</f>
        <v>25.9</v>
      </c>
      <c r="AN18" s="1">
        <f>(T18*1.05)+T18</f>
        <v>16.605</v>
      </c>
    </row>
    <row r="19" spans="1:40" x14ac:dyDescent="0.2">
      <c r="A19" s="1" t="s">
        <v>109</v>
      </c>
      <c r="L19" s="1"/>
      <c r="M19" s="1"/>
      <c r="N19" s="1"/>
      <c r="O19" s="1">
        <v>14.5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>
        <v>14.5</v>
      </c>
      <c r="AJ19" s="1"/>
      <c r="AK19" s="1"/>
      <c r="AL19" s="1"/>
      <c r="AM19" s="1"/>
      <c r="AN19" s="1"/>
    </row>
    <row r="20" spans="1:40" x14ac:dyDescent="0.2">
      <c r="A20" s="1" t="s">
        <v>226</v>
      </c>
      <c r="L20" s="1"/>
      <c r="M20" s="1"/>
      <c r="N20" s="1">
        <v>4.4000000000000004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>
        <v>4.4000000000000004</v>
      </c>
      <c r="AI20" s="1"/>
      <c r="AJ20" s="1"/>
      <c r="AK20" s="1"/>
      <c r="AL20" s="1"/>
      <c r="AM20" s="1"/>
      <c r="AN20" s="1"/>
    </row>
    <row r="21" spans="1:40" x14ac:dyDescent="0.2">
      <c r="A21" s="1" t="s">
        <v>394</v>
      </c>
      <c r="L21" s="1"/>
      <c r="M21" s="1"/>
      <c r="N21" s="3">
        <v>5.8</v>
      </c>
      <c r="O21" s="1">
        <v>3.2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>
        <f>(N21*0.1)+N21</f>
        <v>6.38</v>
      </c>
      <c r="AI21" s="1">
        <f>(O21*0.35)+O21</f>
        <v>4.32</v>
      </c>
      <c r="AJ21" s="1"/>
      <c r="AK21" s="1"/>
      <c r="AL21" s="1"/>
      <c r="AM21" s="1"/>
      <c r="AN21" s="1"/>
    </row>
    <row r="22" spans="1:40" x14ac:dyDescent="0.2">
      <c r="A22" s="1" t="s">
        <v>395</v>
      </c>
      <c r="L22" s="1"/>
      <c r="M22" s="1"/>
      <c r="N22" s="1"/>
      <c r="O22" s="1">
        <v>3.9</v>
      </c>
      <c r="P22" s="1">
        <v>2.2999999999999998</v>
      </c>
      <c r="Q22" s="1">
        <v>4.4000000000000004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>
        <v>3.9</v>
      </c>
      <c r="AJ22" s="1">
        <f>(P22*0.25)+P22</f>
        <v>2.875</v>
      </c>
      <c r="AK22" s="1">
        <f>(Q22*0.35)+Q22</f>
        <v>5.94</v>
      </c>
      <c r="AL22" s="1"/>
      <c r="AM22" s="1"/>
      <c r="AN22" s="1"/>
    </row>
    <row r="23" spans="1:40" x14ac:dyDescent="0.2">
      <c r="A23" s="1" t="s">
        <v>1285</v>
      </c>
      <c r="L23" s="1"/>
      <c r="M23" s="1"/>
      <c r="N23" s="1"/>
      <c r="O23" s="1"/>
      <c r="P23" s="1"/>
      <c r="Q23" s="1"/>
      <c r="R23" s="1">
        <v>3.2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>
        <v>3.2</v>
      </c>
      <c r="AM23" s="1"/>
      <c r="AN23" s="1"/>
    </row>
    <row r="24" spans="1:40" x14ac:dyDescent="0.2">
      <c r="A24" s="1" t="s">
        <v>166</v>
      </c>
      <c r="L24" s="1"/>
      <c r="M24" s="1"/>
      <c r="N24" s="1"/>
      <c r="O24" s="1"/>
      <c r="P24" s="1"/>
      <c r="Q24" s="1"/>
      <c r="R24" s="1">
        <v>8.3000000000000007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>
        <v>8.3000000000000007</v>
      </c>
      <c r="AM24" s="1"/>
      <c r="AN24" s="1"/>
    </row>
    <row r="25" spans="1:40" x14ac:dyDescent="0.2">
      <c r="A25" s="1" t="s">
        <v>1286</v>
      </c>
      <c r="L25" s="1"/>
      <c r="M25" s="1"/>
      <c r="N25" s="1"/>
      <c r="O25" s="1"/>
      <c r="P25" s="1"/>
      <c r="Q25" s="1"/>
      <c r="R25" s="1">
        <v>25.6</v>
      </c>
      <c r="S25" s="1">
        <v>32.700000000000003</v>
      </c>
      <c r="T25" s="1">
        <v>15.4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>
        <v>25.6</v>
      </c>
      <c r="AM25" s="1">
        <f>(S25*0.25)+S25</f>
        <v>40.875</v>
      </c>
      <c r="AN25" s="1">
        <f>(T25*0.45)+T25</f>
        <v>22.330000000000002</v>
      </c>
    </row>
    <row r="26" spans="1:40" x14ac:dyDescent="0.2">
      <c r="A26" s="1" t="s">
        <v>396</v>
      </c>
      <c r="L26" s="1"/>
      <c r="M26" s="1"/>
      <c r="N26" s="1"/>
      <c r="O26" s="1"/>
      <c r="P26" s="1">
        <v>6.8</v>
      </c>
      <c r="Q26" s="1">
        <v>5.6</v>
      </c>
      <c r="R26" s="1">
        <v>1.8</v>
      </c>
      <c r="S26" s="1">
        <v>1.3</v>
      </c>
      <c r="T26" s="1">
        <v>0.9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>
        <v>6.8</v>
      </c>
      <c r="AK26" s="1">
        <f>(Q26*0.1)+Q26</f>
        <v>6.1599999999999993</v>
      </c>
      <c r="AL26" s="1">
        <f>(R26*0.35)+R26</f>
        <v>2.4300000000000002</v>
      </c>
      <c r="AM26" s="1">
        <f>(S26*0.6)+S26</f>
        <v>2.08</v>
      </c>
      <c r="AN26" s="1">
        <f>(T26*0.8)+T26</f>
        <v>1.62</v>
      </c>
    </row>
    <row r="27" spans="1:40" x14ac:dyDescent="0.2">
      <c r="A27" s="1" t="s">
        <v>1367</v>
      </c>
      <c r="L27" s="1"/>
      <c r="M27" s="1"/>
      <c r="N27" s="1"/>
      <c r="O27" s="1"/>
      <c r="P27" s="1"/>
      <c r="Q27" s="1"/>
      <c r="R27" s="1">
        <v>2</v>
      </c>
      <c r="S27" s="1">
        <v>4.4000000000000004</v>
      </c>
      <c r="T27" s="1">
        <v>26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>
        <v>2</v>
      </c>
      <c r="AM27" s="1">
        <f>(S27*0.25)+S27</f>
        <v>5.5</v>
      </c>
      <c r="AN27" s="1">
        <f>(T27*0.45)+T27</f>
        <v>37.700000000000003</v>
      </c>
    </row>
    <row r="28" spans="1:40" x14ac:dyDescent="0.2">
      <c r="A28" s="1" t="s">
        <v>357</v>
      </c>
      <c r="L28" s="1"/>
      <c r="M28" s="1"/>
      <c r="N28" s="1"/>
      <c r="O28" s="1"/>
      <c r="P28" s="1">
        <v>31.3</v>
      </c>
      <c r="Q28" s="1">
        <v>33.200000000000003</v>
      </c>
      <c r="R28" s="1">
        <v>25.4</v>
      </c>
      <c r="S28" s="1">
        <v>18.8</v>
      </c>
      <c r="T28" s="1">
        <v>19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>
        <v>31.3</v>
      </c>
      <c r="AK28" s="1">
        <f>(Q28*0.1)+Q28</f>
        <v>36.520000000000003</v>
      </c>
      <c r="AL28" s="1">
        <f>(R28*0.35)+R28</f>
        <v>34.29</v>
      </c>
      <c r="AM28" s="1">
        <f>(S28*0.6)+S28</f>
        <v>30.08</v>
      </c>
      <c r="AN28" s="1">
        <f>(T28*0.8)+T28</f>
        <v>34.200000000000003</v>
      </c>
    </row>
    <row r="29" spans="1:40" x14ac:dyDescent="0.2">
      <c r="A29" s="1" t="s">
        <v>336</v>
      </c>
      <c r="L29" s="1"/>
      <c r="M29" s="1"/>
      <c r="N29" s="1"/>
      <c r="O29" s="1"/>
      <c r="P29" s="1"/>
      <c r="Q29" s="1"/>
      <c r="R29" s="1"/>
      <c r="S29" s="1">
        <v>3.4</v>
      </c>
      <c r="T29" s="1">
        <v>3.6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>
        <v>3.4</v>
      </c>
      <c r="AN29" s="1">
        <f>(T29*0.2)+T29</f>
        <v>4.32</v>
      </c>
    </row>
    <row r="30" spans="1:40" x14ac:dyDescent="0.2">
      <c r="A30" s="1" t="s">
        <v>397</v>
      </c>
      <c r="L30" s="1"/>
      <c r="M30" s="1"/>
      <c r="N30" s="1"/>
      <c r="O30" s="1"/>
      <c r="P30" s="1"/>
      <c r="Q30" s="1">
        <v>37.4</v>
      </c>
      <c r="R30" s="1">
        <v>21.6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>
        <v>37.4</v>
      </c>
      <c r="AL30" s="1">
        <f>(R30*0.25)+R30</f>
        <v>27</v>
      </c>
      <c r="AN30" s="1"/>
    </row>
    <row r="31" spans="1:40" x14ac:dyDescent="0.2">
      <c r="Q31" s="1"/>
      <c r="R31" s="1"/>
      <c r="U31" s="3" t="s">
        <v>14</v>
      </c>
      <c r="V31" s="1">
        <f>SUM(V2:V30)</f>
        <v>97.699999999999989</v>
      </c>
      <c r="W31" s="1">
        <f t="shared" ref="W31:AN31" si="11">SUM(W2:W30)</f>
        <v>121.5</v>
      </c>
      <c r="X31" s="1">
        <f t="shared" si="11"/>
        <v>143.69999999999999</v>
      </c>
      <c r="Y31" s="1">
        <f t="shared" si="11"/>
        <v>169.75</v>
      </c>
      <c r="Z31" s="1">
        <f t="shared" si="11"/>
        <v>175.6</v>
      </c>
      <c r="AA31" s="1">
        <f t="shared" si="11"/>
        <v>213.70000000000002</v>
      </c>
      <c r="AB31" s="1">
        <f t="shared" si="11"/>
        <v>233.92999999999998</v>
      </c>
      <c r="AC31" s="1">
        <f t="shared" si="11"/>
        <v>243.05</v>
      </c>
      <c r="AD31" s="1">
        <f t="shared" si="11"/>
        <v>260.97499999999997</v>
      </c>
      <c r="AE31" s="1">
        <f t="shared" si="11"/>
        <v>271.57499999999993</v>
      </c>
      <c r="AF31" s="1">
        <f t="shared" si="11"/>
        <v>254.86</v>
      </c>
      <c r="AG31" s="1">
        <f t="shared" si="11"/>
        <v>202.91</v>
      </c>
      <c r="AH31" s="1">
        <f t="shared" si="11"/>
        <v>206.4</v>
      </c>
      <c r="AI31" s="1">
        <f t="shared" si="11"/>
        <v>179.70500000000001</v>
      </c>
      <c r="AJ31" s="1">
        <f t="shared" si="11"/>
        <v>144.54500000000002</v>
      </c>
      <c r="AK31" s="1">
        <f t="shared" si="11"/>
        <v>106.54000000000002</v>
      </c>
      <c r="AL31" s="1">
        <f t="shared" si="11"/>
        <v>115.94</v>
      </c>
      <c r="AM31" s="1">
        <f t="shared" si="11"/>
        <v>150.38499999999999</v>
      </c>
      <c r="AN31" s="1">
        <f t="shared" si="11"/>
        <v>150.07499999999999</v>
      </c>
    </row>
    <row r="33" spans="22:47" x14ac:dyDescent="0.2">
      <c r="V33" s="1">
        <v>100</v>
      </c>
      <c r="W33" s="1">
        <v>125</v>
      </c>
      <c r="X33" s="1">
        <v>150</v>
      </c>
      <c r="Y33" s="1">
        <v>175</v>
      </c>
      <c r="Z33" s="1">
        <v>200</v>
      </c>
      <c r="AA33" s="1">
        <v>220</v>
      </c>
      <c r="AB33" s="1">
        <v>240</v>
      </c>
      <c r="AC33" s="1">
        <v>255</v>
      </c>
      <c r="AD33" s="1">
        <v>275</v>
      </c>
      <c r="AE33" s="1">
        <v>295</v>
      </c>
      <c r="AF33" s="1">
        <v>320</v>
      </c>
      <c r="AG33" s="1">
        <v>330</v>
      </c>
      <c r="AH33" s="1">
        <v>340</v>
      </c>
      <c r="AI33" s="1">
        <v>365</v>
      </c>
      <c r="AJ33" s="1">
        <v>390</v>
      </c>
      <c r="AK33" s="1">
        <v>400</v>
      </c>
      <c r="AL33" s="1">
        <v>425</v>
      </c>
      <c r="AM33" s="1">
        <v>450</v>
      </c>
      <c r="AN33" s="1">
        <v>470</v>
      </c>
    </row>
    <row r="35" spans="22:47" x14ac:dyDescent="0.2">
      <c r="V35" s="1">
        <f>V31</f>
        <v>97.699999999999989</v>
      </c>
      <c r="W35" s="1">
        <f>SUM(V35+W31)</f>
        <v>219.2</v>
      </c>
      <c r="X35" s="1">
        <f>SUM(W35+X31)</f>
        <v>362.9</v>
      </c>
      <c r="Y35" s="1">
        <f>SUM(X35+Y31)</f>
        <v>532.65</v>
      </c>
      <c r="Z35" s="1">
        <f t="shared" ref="Z35:AN35" si="12">SUM(Y35+Z31)</f>
        <v>708.25</v>
      </c>
      <c r="AA35" s="1">
        <f t="shared" si="12"/>
        <v>921.95</v>
      </c>
      <c r="AB35" s="1">
        <f t="shared" si="12"/>
        <v>1155.8800000000001</v>
      </c>
      <c r="AC35" s="1">
        <f t="shared" si="12"/>
        <v>1398.93</v>
      </c>
      <c r="AD35" s="1">
        <f t="shared" si="12"/>
        <v>1659.905</v>
      </c>
      <c r="AE35" s="1">
        <f t="shared" si="12"/>
        <v>1931.48</v>
      </c>
      <c r="AF35" s="1">
        <f t="shared" si="12"/>
        <v>2186.34</v>
      </c>
      <c r="AG35" s="1">
        <f t="shared" si="12"/>
        <v>2389.25</v>
      </c>
      <c r="AH35" s="1">
        <f t="shared" si="12"/>
        <v>2595.65</v>
      </c>
      <c r="AI35" s="1">
        <f t="shared" si="12"/>
        <v>2775.355</v>
      </c>
      <c r="AJ35" s="1">
        <f t="shared" si="12"/>
        <v>2919.9</v>
      </c>
      <c r="AK35" s="1">
        <f t="shared" si="12"/>
        <v>3026.44</v>
      </c>
      <c r="AL35" s="1">
        <f t="shared" si="12"/>
        <v>3142.38</v>
      </c>
      <c r="AM35" s="1">
        <f t="shared" si="12"/>
        <v>3292.7650000000003</v>
      </c>
      <c r="AN35" s="1">
        <f t="shared" si="12"/>
        <v>3442.84</v>
      </c>
      <c r="AO35" s="1"/>
      <c r="AP35" s="1"/>
      <c r="AQ35" s="1"/>
      <c r="AR35" s="1"/>
      <c r="AS35" s="1"/>
      <c r="AT35" s="1"/>
      <c r="AU35" s="1"/>
    </row>
    <row r="36" spans="22:47" x14ac:dyDescent="0.2">
      <c r="V36" s="3"/>
      <c r="W36" s="3"/>
      <c r="X36" s="3"/>
      <c r="Y36" s="3"/>
      <c r="Z36" s="1"/>
      <c r="AA36" s="3"/>
      <c r="AB36" s="3"/>
      <c r="AC36" s="3"/>
      <c r="AD36" s="3"/>
      <c r="AE36" s="3"/>
      <c r="AF36" s="3"/>
      <c r="AG36" s="5"/>
      <c r="AH36" s="5"/>
      <c r="AI36" s="3"/>
      <c r="AJ36" s="3"/>
      <c r="AK36" s="3"/>
      <c r="AL36" s="3"/>
      <c r="AM36" s="1"/>
      <c r="AN36" s="1"/>
      <c r="AO36" s="1"/>
      <c r="AP36" s="1"/>
    </row>
    <row r="37" spans="22:47" x14ac:dyDescent="0.2">
      <c r="V37" s="1">
        <v>100</v>
      </c>
      <c r="W37" s="1">
        <f>SUM(V37+W33)</f>
        <v>225</v>
      </c>
      <c r="X37" s="1">
        <f>SUM(W37+X33)</f>
        <v>375</v>
      </c>
      <c r="Y37" s="1">
        <f>SUM(X37+Y33)</f>
        <v>550</v>
      </c>
      <c r="Z37" s="1">
        <f t="shared" ref="Z37:AN37" si="13">SUM(Y37+Z33)</f>
        <v>750</v>
      </c>
      <c r="AA37" s="1">
        <f t="shared" si="13"/>
        <v>970</v>
      </c>
      <c r="AB37" s="1">
        <f t="shared" si="13"/>
        <v>1210</v>
      </c>
      <c r="AC37" s="1">
        <f t="shared" si="13"/>
        <v>1465</v>
      </c>
      <c r="AD37" s="1">
        <f t="shared" si="13"/>
        <v>1740</v>
      </c>
      <c r="AE37" s="1">
        <f t="shared" si="13"/>
        <v>2035</v>
      </c>
      <c r="AF37" s="1">
        <f t="shared" si="13"/>
        <v>2355</v>
      </c>
      <c r="AG37" s="1">
        <f t="shared" si="13"/>
        <v>2685</v>
      </c>
      <c r="AH37" s="1">
        <f t="shared" si="13"/>
        <v>3025</v>
      </c>
      <c r="AI37" s="1">
        <f t="shared" si="13"/>
        <v>3390</v>
      </c>
      <c r="AJ37" s="1">
        <f t="shared" si="13"/>
        <v>3780</v>
      </c>
      <c r="AK37" s="1">
        <f t="shared" si="13"/>
        <v>4180</v>
      </c>
      <c r="AL37" s="1">
        <f t="shared" si="13"/>
        <v>4605</v>
      </c>
      <c r="AM37" s="1">
        <f t="shared" si="13"/>
        <v>5055</v>
      </c>
      <c r="AN37" s="1">
        <f t="shared" si="13"/>
        <v>5525</v>
      </c>
      <c r="AO37" s="1"/>
      <c r="AP37" s="1"/>
      <c r="AQ37" s="1"/>
      <c r="AR37" s="1"/>
      <c r="AS37" s="1"/>
      <c r="AT37" s="1"/>
      <c r="AU37" s="1"/>
    </row>
    <row r="39" spans="22:47" x14ac:dyDescent="0.2">
      <c r="V39" s="4" t="s">
        <v>1563</v>
      </c>
      <c r="W39" s="4" t="s">
        <v>1563</v>
      </c>
      <c r="X39" s="4" t="s">
        <v>1563</v>
      </c>
      <c r="Y39" s="4" t="s">
        <v>1563</v>
      </c>
      <c r="Z39" s="4" t="s">
        <v>1563</v>
      </c>
      <c r="AA39" s="4" t="s">
        <v>1563</v>
      </c>
      <c r="AB39" s="4" t="s">
        <v>1563</v>
      </c>
      <c r="AC39" s="4" t="s">
        <v>1563</v>
      </c>
      <c r="AD39" s="4" t="s">
        <v>1563</v>
      </c>
      <c r="AE39" s="4" t="s">
        <v>1563</v>
      </c>
      <c r="AF39" s="4" t="s">
        <v>1563</v>
      </c>
      <c r="AG39" s="4" t="s">
        <v>1563</v>
      </c>
      <c r="AH39" s="4" t="s">
        <v>1563</v>
      </c>
      <c r="AI39" s="4" t="s">
        <v>1563</v>
      </c>
      <c r="AJ39" s="4" t="s">
        <v>1563</v>
      </c>
      <c r="AK39" s="4" t="s">
        <v>1563</v>
      </c>
      <c r="AL39" s="4" t="s">
        <v>1563</v>
      </c>
      <c r="AM39" s="4" t="s">
        <v>1563</v>
      </c>
      <c r="AN39" s="4" t="s">
        <v>1563</v>
      </c>
      <c r="AO39" s="4"/>
      <c r="AP39" s="4"/>
      <c r="AQ39" s="4"/>
      <c r="AR39" s="4"/>
      <c r="AS39" s="4"/>
      <c r="AT39" s="4"/>
      <c r="AU39" s="4"/>
    </row>
    <row r="40" spans="22:47" x14ac:dyDescent="0.2">
      <c r="V40" s="6">
        <f>(V35/V37)*100</f>
        <v>97.699999999999989</v>
      </c>
      <c r="W40" s="6">
        <f>(W35/W37)*100</f>
        <v>97.422222222222217</v>
      </c>
      <c r="X40" s="6">
        <f>(X35/X37)*100</f>
        <v>96.773333333333326</v>
      </c>
      <c r="Y40" s="6">
        <f>(Y35/Y37)*100</f>
        <v>96.845454545454544</v>
      </c>
      <c r="Z40" s="6">
        <f>(Z35/Z37)*100</f>
        <v>94.433333333333337</v>
      </c>
      <c r="AA40" s="6">
        <f t="shared" ref="AA40:AN40" si="14">(AA35/AA37)*100</f>
        <v>95.046391752577321</v>
      </c>
      <c r="AB40" s="6">
        <f t="shared" si="14"/>
        <v>95.527272727272745</v>
      </c>
      <c r="AC40" s="6">
        <f t="shared" si="14"/>
        <v>95.490102389078501</v>
      </c>
      <c r="AD40" s="6">
        <f t="shared" si="14"/>
        <v>95.39683908045977</v>
      </c>
      <c r="AE40" s="6">
        <f t="shared" si="14"/>
        <v>94.913022113022123</v>
      </c>
      <c r="AF40" s="6">
        <f t="shared" si="14"/>
        <v>92.838216560509551</v>
      </c>
      <c r="AG40" s="6">
        <f t="shared" si="14"/>
        <v>88.985102420856606</v>
      </c>
      <c r="AH40" s="6">
        <f t="shared" si="14"/>
        <v>85.806611570247938</v>
      </c>
      <c r="AI40" s="6">
        <f t="shared" si="14"/>
        <v>81.868879056047192</v>
      </c>
      <c r="AJ40" s="6">
        <f t="shared" si="14"/>
        <v>77.246031746031747</v>
      </c>
      <c r="AK40" s="6">
        <f t="shared" si="14"/>
        <v>72.402870813397129</v>
      </c>
      <c r="AL40" s="6">
        <f t="shared" si="14"/>
        <v>68.238436482084694</v>
      </c>
      <c r="AM40" s="6">
        <f t="shared" si="14"/>
        <v>65.138773491592488</v>
      </c>
      <c r="AN40" s="6">
        <f t="shared" si="14"/>
        <v>62.31384615384615</v>
      </c>
      <c r="AO40" s="6"/>
      <c r="AP40" s="6"/>
      <c r="AQ40" s="6"/>
      <c r="AR40" s="6"/>
      <c r="AS40" s="6"/>
      <c r="AT40" s="6"/>
      <c r="AU40" s="6"/>
    </row>
  </sheetData>
  <pageMargins left="0.7" right="0.7" top="0.75" bottom="0.75" header="0.3" footer="0.3"/>
  <pageSetup paperSize="9" orientation="portrait"/>
  <ignoredErrors>
    <ignoredError sqref="AM26" formula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25"/>
  <sheetViews>
    <sheetView topLeftCell="F1" workbookViewId="0">
      <selection activeCell="J18" sqref="J18:O18"/>
    </sheetView>
  </sheetViews>
  <sheetFormatPr baseColWidth="10" defaultRowHeight="15" x14ac:dyDescent="0.2"/>
  <cols>
    <col min="2" max="2" width="30.5" customWidth="1"/>
  </cols>
  <sheetData>
    <row r="1" spans="1:16" ht="16" x14ac:dyDescent="0.2">
      <c r="A1" s="3" t="s">
        <v>15</v>
      </c>
      <c r="B1" s="24" t="s">
        <v>681</v>
      </c>
      <c r="C1" s="3">
        <v>2007</v>
      </c>
      <c r="D1" s="3">
        <v>2010</v>
      </c>
      <c r="E1" s="3">
        <v>2014</v>
      </c>
      <c r="F1" s="3">
        <v>2017</v>
      </c>
      <c r="G1" s="3">
        <v>2019</v>
      </c>
      <c r="H1" s="3">
        <v>2021</v>
      </c>
      <c r="J1" s="3">
        <v>2007</v>
      </c>
      <c r="K1" s="3">
        <v>2010</v>
      </c>
      <c r="L1" s="3">
        <v>2014</v>
      </c>
      <c r="M1" s="3">
        <v>2017</v>
      </c>
      <c r="N1" s="3">
        <v>2019</v>
      </c>
      <c r="O1" s="3">
        <v>2021</v>
      </c>
    </row>
    <row r="2" spans="1:16" ht="16" x14ac:dyDescent="0.2">
      <c r="A2" s="1" t="s">
        <v>140</v>
      </c>
      <c r="B2" s="16" t="s">
        <v>1034</v>
      </c>
      <c r="C2" s="1">
        <v>34.299999999999997</v>
      </c>
      <c r="D2" s="1">
        <v>32.1</v>
      </c>
      <c r="E2" s="1">
        <v>30.4</v>
      </c>
      <c r="F2" s="1">
        <v>33.700000000000003</v>
      </c>
      <c r="G2" s="1">
        <v>21.3</v>
      </c>
      <c r="H2" s="1">
        <v>17</v>
      </c>
      <c r="J2" s="1">
        <v>34.299999999999997</v>
      </c>
      <c r="K2" s="1">
        <f>(D2*0.2)+D2</f>
        <v>38.520000000000003</v>
      </c>
      <c r="L2" s="1">
        <f>(E2*0.4)+E2</f>
        <v>42.56</v>
      </c>
      <c r="M2" s="1">
        <f>(F2*0.55)+F2</f>
        <v>52.235000000000007</v>
      </c>
      <c r="N2" s="1">
        <f>(G2*0.65)+G2</f>
        <v>35.145000000000003</v>
      </c>
      <c r="O2" s="1">
        <f>(H2*0.75)+H2</f>
        <v>29.75</v>
      </c>
    </row>
    <row r="3" spans="1:16" ht="16" x14ac:dyDescent="0.2">
      <c r="A3" s="1" t="s">
        <v>141</v>
      </c>
      <c r="B3" s="16" t="s">
        <v>1035</v>
      </c>
      <c r="C3" s="1">
        <v>22.6</v>
      </c>
      <c r="D3" s="1">
        <v>24.7</v>
      </c>
      <c r="E3" s="1">
        <v>25.2</v>
      </c>
      <c r="F3" s="1">
        <v>25.5</v>
      </c>
      <c r="G3" s="1">
        <v>24.6</v>
      </c>
      <c r="H3" s="1">
        <v>12.7</v>
      </c>
      <c r="J3" s="1">
        <v>22.6</v>
      </c>
      <c r="K3" s="1">
        <f t="shared" ref="K3:K7" si="0">(D3*0.2)+D3</f>
        <v>29.64</v>
      </c>
      <c r="L3" s="1">
        <f t="shared" ref="L3:L7" si="1">(E3*0.4)+E3</f>
        <v>35.28</v>
      </c>
      <c r="M3" s="1">
        <f t="shared" ref="M3:M7" si="2">(F3*0.55)+F3</f>
        <v>39.524999999999999</v>
      </c>
      <c r="N3" s="1">
        <f t="shared" ref="N3:N7" si="3">(G3*0.65)+G3</f>
        <v>40.590000000000003</v>
      </c>
      <c r="O3" s="1">
        <f t="shared" ref="O3:O7" si="4">(H3*0.75)+H3</f>
        <v>22.224999999999998</v>
      </c>
    </row>
    <row r="4" spans="1:16" ht="16" x14ac:dyDescent="0.2">
      <c r="A4" s="1" t="s">
        <v>143</v>
      </c>
      <c r="B4" s="16" t="s">
        <v>1036</v>
      </c>
      <c r="C4" s="1">
        <v>9.6</v>
      </c>
      <c r="D4" s="1">
        <v>11</v>
      </c>
      <c r="E4" s="1">
        <v>9.5</v>
      </c>
      <c r="F4" s="1"/>
      <c r="G4" s="3">
        <v>11.5</v>
      </c>
      <c r="H4" s="3">
        <v>7.1</v>
      </c>
      <c r="J4" s="1">
        <v>9.6</v>
      </c>
      <c r="K4" s="1">
        <f t="shared" si="0"/>
        <v>13.2</v>
      </c>
      <c r="L4" s="1">
        <f t="shared" si="1"/>
        <v>13.3</v>
      </c>
      <c r="M4" s="1"/>
      <c r="N4" s="1">
        <f t="shared" si="3"/>
        <v>18.975000000000001</v>
      </c>
      <c r="O4" s="1">
        <f t="shared" si="4"/>
        <v>12.424999999999999</v>
      </c>
    </row>
    <row r="5" spans="1:16" ht="16" x14ac:dyDescent="0.2">
      <c r="A5" s="1" t="s">
        <v>145</v>
      </c>
      <c r="B5" s="16" t="s">
        <v>1037</v>
      </c>
      <c r="C5" s="1">
        <v>12.3</v>
      </c>
      <c r="D5" s="1">
        <v>7.3</v>
      </c>
      <c r="E5" s="1">
        <v>4.7</v>
      </c>
      <c r="F5" s="1"/>
      <c r="G5" s="3">
        <v>5</v>
      </c>
      <c r="H5" s="3"/>
      <c r="J5" s="1">
        <v>12.3</v>
      </c>
      <c r="K5" s="1">
        <f t="shared" si="0"/>
        <v>8.76</v>
      </c>
      <c r="L5" s="1">
        <f t="shared" si="1"/>
        <v>6.58</v>
      </c>
      <c r="M5" s="1"/>
      <c r="N5" s="1">
        <f t="shared" si="3"/>
        <v>8.25</v>
      </c>
      <c r="O5" s="1"/>
    </row>
    <row r="6" spans="1:16" ht="16" x14ac:dyDescent="0.2">
      <c r="A6" s="1" t="s">
        <v>525</v>
      </c>
      <c r="B6" s="16" t="s">
        <v>1038</v>
      </c>
      <c r="C6" s="1">
        <v>4.0999999999999996</v>
      </c>
      <c r="D6" s="1"/>
      <c r="E6" s="1"/>
      <c r="F6" s="1"/>
      <c r="G6" s="1"/>
      <c r="H6" s="1"/>
      <c r="J6" s="1">
        <v>4.0999999999999996</v>
      </c>
      <c r="K6" s="1"/>
      <c r="L6" s="1"/>
      <c r="M6" s="1"/>
      <c r="N6" s="1"/>
      <c r="O6" s="1"/>
    </row>
    <row r="7" spans="1:16" ht="16" x14ac:dyDescent="0.2">
      <c r="A7" s="1" t="s">
        <v>526</v>
      </c>
      <c r="B7" s="16" t="s">
        <v>1039</v>
      </c>
      <c r="C7" s="1">
        <v>0.2</v>
      </c>
      <c r="D7" s="3">
        <v>0.9</v>
      </c>
      <c r="E7" s="1">
        <v>5.2</v>
      </c>
      <c r="F7" s="1">
        <v>6.1</v>
      </c>
      <c r="G7" s="1">
        <v>6.4</v>
      </c>
      <c r="H7" s="1">
        <v>5.0999999999999996</v>
      </c>
      <c r="J7" s="1">
        <v>0.2</v>
      </c>
      <c r="K7" s="1">
        <f t="shared" si="0"/>
        <v>1.08</v>
      </c>
      <c r="L7" s="1">
        <f t="shared" si="1"/>
        <v>7.28</v>
      </c>
      <c r="M7" s="1">
        <f t="shared" si="2"/>
        <v>9.4550000000000001</v>
      </c>
      <c r="N7" s="1">
        <f t="shared" si="3"/>
        <v>10.56</v>
      </c>
      <c r="O7" s="1">
        <f t="shared" si="4"/>
        <v>8.9249999999999989</v>
      </c>
    </row>
    <row r="8" spans="1:16" ht="16" x14ac:dyDescent="0.2">
      <c r="A8" s="1" t="s">
        <v>527</v>
      </c>
      <c r="B8" s="16" t="s">
        <v>1040</v>
      </c>
      <c r="C8" s="1"/>
      <c r="D8" s="1"/>
      <c r="E8" s="1">
        <v>5.2</v>
      </c>
      <c r="F8" s="1"/>
      <c r="G8" s="1"/>
      <c r="H8" s="1">
        <v>2.5</v>
      </c>
      <c r="J8" s="1"/>
      <c r="K8" s="1"/>
      <c r="L8" s="1">
        <v>5.2</v>
      </c>
      <c r="M8" s="1"/>
      <c r="N8" s="1"/>
      <c r="O8" s="1">
        <f>(H8*0.35)+H8</f>
        <v>3.375</v>
      </c>
    </row>
    <row r="9" spans="1:16" ht="16" x14ac:dyDescent="0.2">
      <c r="A9" s="1" t="s">
        <v>142</v>
      </c>
      <c r="B9" s="16" t="s">
        <v>1041</v>
      </c>
      <c r="C9" s="1"/>
      <c r="D9" s="1">
        <v>12.7</v>
      </c>
      <c r="E9" s="1">
        <v>13.6</v>
      </c>
      <c r="F9" s="1">
        <v>27.5</v>
      </c>
      <c r="G9" s="1">
        <v>26.3</v>
      </c>
      <c r="H9" s="1">
        <v>50.3</v>
      </c>
      <c r="J9" s="1"/>
      <c r="K9" s="1">
        <v>12.7</v>
      </c>
      <c r="L9" s="1">
        <f>(E9*0.2)+E9</f>
        <v>16.32</v>
      </c>
      <c r="M9" s="1">
        <f>(F9*0.35)+F9</f>
        <v>37.125</v>
      </c>
      <c r="N9" s="1">
        <f>(G9*0.45)+G9</f>
        <v>38.135000000000005</v>
      </c>
      <c r="O9" s="1">
        <f>(H9*0.55)+H9</f>
        <v>77.965000000000003</v>
      </c>
    </row>
    <row r="10" spans="1:16" x14ac:dyDescent="0.2">
      <c r="I10" s="3" t="s">
        <v>14</v>
      </c>
      <c r="J10" s="1">
        <f t="shared" ref="J10:O10" si="5">SUM(J2:J9)</f>
        <v>83.1</v>
      </c>
      <c r="K10" s="1">
        <f t="shared" si="5"/>
        <v>103.9</v>
      </c>
      <c r="L10" s="1">
        <f t="shared" si="5"/>
        <v>126.52000000000001</v>
      </c>
      <c r="M10" s="1">
        <f t="shared" si="5"/>
        <v>138.34</v>
      </c>
      <c r="N10" s="1">
        <f t="shared" si="5"/>
        <v>151.65500000000003</v>
      </c>
      <c r="O10" s="1">
        <f t="shared" si="5"/>
        <v>154.66499999999999</v>
      </c>
    </row>
    <row r="12" spans="1:16" x14ac:dyDescent="0.2">
      <c r="J12" s="1">
        <v>100</v>
      </c>
      <c r="K12" s="1">
        <v>120</v>
      </c>
      <c r="L12" s="1">
        <v>140</v>
      </c>
      <c r="M12" s="1">
        <v>155</v>
      </c>
      <c r="N12" s="1">
        <v>165</v>
      </c>
      <c r="O12" s="1">
        <v>175</v>
      </c>
    </row>
    <row r="14" spans="1:16" x14ac:dyDescent="0.2">
      <c r="J14" s="1">
        <f>J10</f>
        <v>83.1</v>
      </c>
      <c r="K14" s="1">
        <f>SUM(J14+K10)</f>
        <v>187</v>
      </c>
      <c r="L14" s="1">
        <f>SUM(K14+L10)</f>
        <v>313.52</v>
      </c>
      <c r="M14" s="1">
        <f>SUM(L14+M10)</f>
        <v>451.86</v>
      </c>
      <c r="N14" s="1">
        <f>SUM(M14+N10)</f>
        <v>603.5150000000001</v>
      </c>
      <c r="O14" s="1">
        <f>SUM(N14+O10)</f>
        <v>758.18000000000006</v>
      </c>
      <c r="P14" s="1"/>
    </row>
    <row r="15" spans="1:16" x14ac:dyDescent="0.2">
      <c r="J15" s="3"/>
      <c r="K15" s="3"/>
      <c r="L15" s="3"/>
      <c r="M15" s="3"/>
      <c r="N15" s="1"/>
      <c r="O15" s="3"/>
      <c r="P15" s="3"/>
    </row>
    <row r="16" spans="1:16" x14ac:dyDescent="0.2">
      <c r="J16" s="1">
        <v>100</v>
      </c>
      <c r="K16" s="1">
        <f>SUM(J16+K12)</f>
        <v>220</v>
      </c>
      <c r="L16" s="1">
        <f>SUM(K16+L12)</f>
        <v>360</v>
      </c>
      <c r="M16" s="1">
        <f>SUM(L16+M12)</f>
        <v>515</v>
      </c>
      <c r="N16" s="1">
        <f>SUM(M16+N12)</f>
        <v>680</v>
      </c>
      <c r="O16" s="1">
        <f>SUM(N16+O12)</f>
        <v>855</v>
      </c>
      <c r="P16" s="1"/>
    </row>
    <row r="18" spans="1:16" ht="16" x14ac:dyDescent="0.2">
      <c r="A18" s="15"/>
      <c r="B18" s="15"/>
      <c r="C18" s="16"/>
      <c r="D18" s="16"/>
      <c r="J18" s="4" t="s">
        <v>1563</v>
      </c>
      <c r="K18" s="4" t="s">
        <v>1563</v>
      </c>
      <c r="L18" s="4" t="s">
        <v>1563</v>
      </c>
      <c r="M18" s="4" t="s">
        <v>1563</v>
      </c>
      <c r="N18" s="4" t="s">
        <v>1563</v>
      </c>
      <c r="O18" s="4" t="s">
        <v>1563</v>
      </c>
      <c r="P18" s="4"/>
    </row>
    <row r="19" spans="1:16" ht="16" x14ac:dyDescent="0.2">
      <c r="A19" s="15"/>
      <c r="B19" s="15"/>
      <c r="C19" s="16"/>
      <c r="D19" s="16"/>
      <c r="J19" s="6">
        <f t="shared" ref="J19:O19" si="6">(J14/J16)*100</f>
        <v>83.1</v>
      </c>
      <c r="K19" s="6">
        <f t="shared" si="6"/>
        <v>85</v>
      </c>
      <c r="L19" s="36">
        <f t="shared" si="6"/>
        <v>87.088888888888889</v>
      </c>
      <c r="M19" s="36">
        <f t="shared" si="6"/>
        <v>87.739805825242726</v>
      </c>
      <c r="N19" s="36">
        <f t="shared" si="6"/>
        <v>88.752205882352953</v>
      </c>
      <c r="O19" s="36">
        <f t="shared" si="6"/>
        <v>88.676023391812876</v>
      </c>
      <c r="P19" s="6"/>
    </row>
    <row r="20" spans="1:16" ht="16" x14ac:dyDescent="0.2">
      <c r="A20" s="15"/>
      <c r="B20" s="15"/>
      <c r="C20" s="16"/>
      <c r="D20" s="16"/>
    </row>
    <row r="21" spans="1:16" ht="16" x14ac:dyDescent="0.2">
      <c r="A21" s="15"/>
      <c r="B21" s="15"/>
      <c r="C21" s="16"/>
      <c r="D21" s="16"/>
    </row>
    <row r="22" spans="1:16" ht="16" x14ac:dyDescent="0.2">
      <c r="A22" s="15"/>
      <c r="B22" s="15"/>
      <c r="C22" s="16"/>
      <c r="D22" s="16"/>
    </row>
    <row r="23" spans="1:16" ht="16" x14ac:dyDescent="0.2">
      <c r="A23" s="15"/>
      <c r="B23" s="15"/>
      <c r="C23" s="16"/>
      <c r="D23" s="16"/>
    </row>
    <row r="24" spans="1:16" ht="16" x14ac:dyDescent="0.2">
      <c r="A24" s="15"/>
      <c r="B24" s="15"/>
      <c r="C24" s="16"/>
      <c r="D24" s="16"/>
    </row>
    <row r="25" spans="1:16" ht="16" x14ac:dyDescent="0.2">
      <c r="A25" s="15"/>
      <c r="B25" s="15"/>
      <c r="C25" s="16"/>
      <c r="D25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34"/>
  <sheetViews>
    <sheetView topLeftCell="B1" workbookViewId="0">
      <selection activeCell="I22" sqref="I22:L22"/>
    </sheetView>
  </sheetViews>
  <sheetFormatPr baseColWidth="10" defaultRowHeight="15" x14ac:dyDescent="0.2"/>
  <cols>
    <col min="2" max="2" width="48.83203125" customWidth="1"/>
  </cols>
  <sheetData>
    <row r="1" spans="1:14" ht="16" x14ac:dyDescent="0.2">
      <c r="A1" s="3" t="s">
        <v>15</v>
      </c>
      <c r="B1" s="24" t="s">
        <v>681</v>
      </c>
      <c r="C1" s="3">
        <v>1922</v>
      </c>
      <c r="D1" s="3">
        <v>1925</v>
      </c>
      <c r="E1" s="3">
        <v>1928</v>
      </c>
      <c r="F1" s="3">
        <v>1931</v>
      </c>
      <c r="I1" s="3">
        <v>1922</v>
      </c>
      <c r="J1" s="3">
        <v>1925</v>
      </c>
      <c r="K1" s="3">
        <v>1928</v>
      </c>
      <c r="L1" s="3">
        <v>1931</v>
      </c>
    </row>
    <row r="2" spans="1:14" ht="16" x14ac:dyDescent="0.2">
      <c r="A2" s="8" t="s">
        <v>328</v>
      </c>
      <c r="B2" s="16" t="s">
        <v>1023</v>
      </c>
      <c r="C2" s="1">
        <v>30.6</v>
      </c>
      <c r="D2" s="1">
        <v>31.4</v>
      </c>
      <c r="E2" s="1">
        <v>24.3</v>
      </c>
      <c r="F2" s="1">
        <v>19.2</v>
      </c>
      <c r="I2" s="1">
        <v>30.6</v>
      </c>
      <c r="J2" s="1">
        <f>(D2*0.15)+D2</f>
        <v>36.11</v>
      </c>
      <c r="K2" s="1">
        <f>(E2*0.3)+E2</f>
        <v>31.59</v>
      </c>
      <c r="L2" s="1">
        <f>(F2*0.45)+F2</f>
        <v>27.84</v>
      </c>
    </row>
    <row r="3" spans="1:14" ht="16" x14ac:dyDescent="0.2">
      <c r="A3" s="8" t="s">
        <v>177</v>
      </c>
      <c r="B3" s="16" t="s">
        <v>1024</v>
      </c>
      <c r="C3" s="1">
        <v>16.8</v>
      </c>
      <c r="D3" s="1">
        <v>15</v>
      </c>
      <c r="E3" s="1">
        <v>15</v>
      </c>
      <c r="F3" s="1">
        <v>12.2</v>
      </c>
      <c r="I3" s="1">
        <v>16.8</v>
      </c>
      <c r="J3" s="1">
        <f t="shared" ref="J3:J10" si="0">(D3*0.15)+D3</f>
        <v>17.25</v>
      </c>
      <c r="K3" s="1">
        <f t="shared" ref="K3:K10" si="1">(E3*0.3)+E3</f>
        <v>19.5</v>
      </c>
      <c r="L3" s="1">
        <f t="shared" ref="L3:L10" si="2">(F3*0.45)+F3</f>
        <v>17.689999999999998</v>
      </c>
    </row>
    <row r="4" spans="1:14" ht="16" x14ac:dyDescent="0.2">
      <c r="A4" s="8" t="s">
        <v>298</v>
      </c>
      <c r="B4" s="16" t="s">
        <v>1025</v>
      </c>
      <c r="C4" s="1">
        <v>7.3</v>
      </c>
      <c r="D4" s="1">
        <v>3.8</v>
      </c>
      <c r="E4" s="1">
        <v>1.9</v>
      </c>
      <c r="F4" s="1">
        <v>9.1999999999999993</v>
      </c>
      <c r="I4" s="1">
        <v>7.3</v>
      </c>
      <c r="J4" s="1">
        <f t="shared" si="0"/>
        <v>4.37</v>
      </c>
      <c r="K4" s="1">
        <f t="shared" si="1"/>
        <v>2.4699999999999998</v>
      </c>
      <c r="L4" s="1">
        <f t="shared" si="2"/>
        <v>13.34</v>
      </c>
    </row>
    <row r="5" spans="1:14" ht="16" x14ac:dyDescent="0.2">
      <c r="A5" s="8" t="s">
        <v>170</v>
      </c>
      <c r="B5" s="16" t="s">
        <v>1026</v>
      </c>
      <c r="C5" s="1">
        <v>3.7</v>
      </c>
      <c r="D5" s="1">
        <v>3.3</v>
      </c>
      <c r="E5" s="1">
        <v>2.2999999999999998</v>
      </c>
      <c r="F5" s="1">
        <v>1.1000000000000001</v>
      </c>
      <c r="I5" s="1">
        <v>3.7</v>
      </c>
      <c r="J5" s="1">
        <f t="shared" si="0"/>
        <v>3.7949999999999999</v>
      </c>
      <c r="K5" s="1">
        <f t="shared" si="1"/>
        <v>2.9899999999999998</v>
      </c>
      <c r="L5" s="1">
        <f t="shared" si="2"/>
        <v>1.5950000000000002</v>
      </c>
    </row>
    <row r="6" spans="1:14" ht="16" x14ac:dyDescent="0.2">
      <c r="A6" s="15" t="s">
        <v>534</v>
      </c>
      <c r="B6" s="16" t="s">
        <v>876</v>
      </c>
      <c r="C6" s="1">
        <v>4.2</v>
      </c>
      <c r="D6" s="1">
        <v>1.8</v>
      </c>
      <c r="E6" s="1">
        <v>2.7</v>
      </c>
      <c r="F6" s="1">
        <v>2.2000000000000002</v>
      </c>
      <c r="I6" s="1">
        <v>4.2</v>
      </c>
      <c r="J6" s="1">
        <f t="shared" si="0"/>
        <v>2.0700000000000003</v>
      </c>
      <c r="K6" s="1">
        <f t="shared" si="1"/>
        <v>3.5100000000000002</v>
      </c>
      <c r="L6" s="1">
        <f t="shared" si="2"/>
        <v>3.1900000000000004</v>
      </c>
    </row>
    <row r="7" spans="1:14" ht="16" x14ac:dyDescent="0.2">
      <c r="A7" s="15" t="s">
        <v>528</v>
      </c>
      <c r="B7" s="16" t="s">
        <v>1027</v>
      </c>
      <c r="C7" s="1">
        <v>6.3</v>
      </c>
      <c r="D7" s="1">
        <v>3.6</v>
      </c>
      <c r="E7" s="1">
        <v>1.3</v>
      </c>
      <c r="F7" s="1"/>
      <c r="I7" s="1">
        <v>6.3</v>
      </c>
      <c r="J7" s="1">
        <f t="shared" si="0"/>
        <v>4.1400000000000006</v>
      </c>
      <c r="K7" s="1">
        <f t="shared" si="1"/>
        <v>1.69</v>
      </c>
      <c r="L7" s="1"/>
    </row>
    <row r="8" spans="1:14" ht="16" x14ac:dyDescent="0.2">
      <c r="A8" s="15" t="s">
        <v>529</v>
      </c>
      <c r="B8" s="16" t="s">
        <v>1028</v>
      </c>
      <c r="C8" s="1">
        <v>6</v>
      </c>
      <c r="D8" s="1">
        <v>5.3</v>
      </c>
      <c r="E8" s="1">
        <v>6.2</v>
      </c>
      <c r="F8" s="1">
        <v>8.1</v>
      </c>
      <c r="I8" s="1">
        <v>6</v>
      </c>
      <c r="J8" s="1">
        <f t="shared" si="0"/>
        <v>6.0949999999999998</v>
      </c>
      <c r="K8" s="1">
        <f t="shared" si="1"/>
        <v>8.06</v>
      </c>
      <c r="L8" s="1">
        <f t="shared" si="2"/>
        <v>11.744999999999999</v>
      </c>
    </row>
    <row r="9" spans="1:14" ht="16" x14ac:dyDescent="0.2">
      <c r="A9" s="15" t="s">
        <v>183</v>
      </c>
      <c r="B9" s="16" t="s">
        <v>1029</v>
      </c>
      <c r="C9" s="1">
        <v>3.5</v>
      </c>
      <c r="D9" s="1">
        <v>1.9</v>
      </c>
      <c r="E9" s="1">
        <v>2.8</v>
      </c>
      <c r="F9" s="1">
        <v>5</v>
      </c>
      <c r="I9" s="1">
        <v>3.5</v>
      </c>
      <c r="J9" s="1">
        <f t="shared" si="0"/>
        <v>2.1850000000000001</v>
      </c>
      <c r="K9" s="1">
        <f t="shared" si="1"/>
        <v>3.6399999999999997</v>
      </c>
      <c r="L9" s="1">
        <f t="shared" si="2"/>
        <v>7.25</v>
      </c>
    </row>
    <row r="10" spans="1:14" ht="16" x14ac:dyDescent="0.2">
      <c r="A10" s="15" t="s">
        <v>530</v>
      </c>
      <c r="B10" s="16" t="s">
        <v>1030</v>
      </c>
      <c r="C10" s="1">
        <v>5.3</v>
      </c>
      <c r="D10" s="1">
        <v>5.0999999999999996</v>
      </c>
      <c r="E10" s="1">
        <v>4.7</v>
      </c>
      <c r="F10" s="1">
        <v>4</v>
      </c>
      <c r="I10" s="1">
        <v>5.3</v>
      </c>
      <c r="J10" s="1">
        <f t="shared" si="0"/>
        <v>5.8649999999999993</v>
      </c>
      <c r="K10" s="1">
        <f t="shared" si="1"/>
        <v>6.11</v>
      </c>
      <c r="L10" s="1">
        <f t="shared" si="2"/>
        <v>5.8</v>
      </c>
    </row>
    <row r="11" spans="1:14" ht="16" x14ac:dyDescent="0.2">
      <c r="A11" s="15" t="s">
        <v>532</v>
      </c>
      <c r="B11" s="16" t="s">
        <v>1031</v>
      </c>
      <c r="C11" s="1"/>
      <c r="D11" s="1">
        <v>1.7</v>
      </c>
      <c r="E11" s="1">
        <v>4</v>
      </c>
      <c r="F11" s="1">
        <v>5.8</v>
      </c>
      <c r="I11" s="1"/>
      <c r="J11" s="1">
        <v>1.7</v>
      </c>
      <c r="K11" s="1">
        <f>(E11*0.15)+E11</f>
        <v>4.5999999999999996</v>
      </c>
      <c r="L11" s="1">
        <f>(F11*0.3)+F11</f>
        <v>7.54</v>
      </c>
    </row>
    <row r="12" spans="1:14" ht="16" x14ac:dyDescent="0.2">
      <c r="A12" s="15" t="s">
        <v>533</v>
      </c>
      <c r="B12" s="16" t="s">
        <v>1032</v>
      </c>
      <c r="C12" s="1"/>
      <c r="D12" s="1"/>
      <c r="E12" s="1">
        <v>3.2</v>
      </c>
      <c r="F12" s="1"/>
      <c r="I12" s="1"/>
      <c r="J12" s="1"/>
      <c r="K12" s="1">
        <v>3.2</v>
      </c>
      <c r="L12" s="1"/>
    </row>
    <row r="13" spans="1:14" ht="16" x14ac:dyDescent="0.2">
      <c r="A13" s="15" t="s">
        <v>531</v>
      </c>
      <c r="B13" s="16" t="s">
        <v>1033</v>
      </c>
      <c r="C13" s="1"/>
      <c r="D13" s="1"/>
      <c r="E13" s="1">
        <v>5.6</v>
      </c>
      <c r="F13" s="1">
        <v>6.3</v>
      </c>
      <c r="I13" s="1"/>
      <c r="J13" s="1"/>
      <c r="K13" s="1">
        <v>5.6</v>
      </c>
      <c r="L13" s="1">
        <f>(F13*0.15)+F13</f>
        <v>7.2450000000000001</v>
      </c>
    </row>
    <row r="14" spans="1:14" x14ac:dyDescent="0.2">
      <c r="H14" s="3" t="s">
        <v>14</v>
      </c>
      <c r="I14" s="1">
        <f>SUM(I2:I13)</f>
        <v>83.7</v>
      </c>
      <c r="J14" s="1">
        <f t="shared" ref="J14:L14" si="3">SUM(J2:J13)</f>
        <v>83.58</v>
      </c>
      <c r="K14" s="1">
        <f t="shared" si="3"/>
        <v>92.96</v>
      </c>
      <c r="L14" s="1">
        <f t="shared" si="3"/>
        <v>103.23500000000001</v>
      </c>
      <c r="M14" s="1"/>
      <c r="N14" s="5"/>
    </row>
    <row r="15" spans="1:14" x14ac:dyDescent="0.2">
      <c r="M15" s="1"/>
      <c r="N15" s="1"/>
    </row>
    <row r="16" spans="1:14" x14ac:dyDescent="0.2">
      <c r="I16" s="1">
        <v>100</v>
      </c>
      <c r="J16" s="1">
        <v>120</v>
      </c>
      <c r="K16" s="1">
        <v>140</v>
      </c>
      <c r="L16" s="1">
        <v>160</v>
      </c>
      <c r="M16" s="1"/>
      <c r="N16" s="1"/>
    </row>
    <row r="18" spans="1:12" x14ac:dyDescent="0.2">
      <c r="I18" s="1">
        <f>I14</f>
        <v>83.7</v>
      </c>
      <c r="J18" s="1">
        <f>SUM(I18+J14)</f>
        <v>167.28</v>
      </c>
      <c r="K18" s="1">
        <f>SUM(J18+K14)</f>
        <v>260.24</v>
      </c>
      <c r="L18" s="1">
        <f>SUM(K18+L14)</f>
        <v>363.47500000000002</v>
      </c>
    </row>
    <row r="19" spans="1:12" x14ac:dyDescent="0.2">
      <c r="I19" s="3"/>
      <c r="J19" s="3"/>
      <c r="K19" s="3"/>
    </row>
    <row r="20" spans="1:12" x14ac:dyDescent="0.2">
      <c r="I20" s="1">
        <v>100</v>
      </c>
      <c r="J20" s="1">
        <f>SUM(I20+J16)</f>
        <v>220</v>
      </c>
      <c r="K20" s="1">
        <f>SUM(J20+K16)</f>
        <v>360</v>
      </c>
      <c r="L20" s="1">
        <f>SUM(K20+L16)</f>
        <v>520</v>
      </c>
    </row>
    <row r="22" spans="1:12" x14ac:dyDescent="0.2">
      <c r="I22" s="4" t="s">
        <v>1563</v>
      </c>
      <c r="J22" s="4" t="s">
        <v>1563</v>
      </c>
      <c r="K22" s="4" t="s">
        <v>1563</v>
      </c>
      <c r="L22" s="4" t="s">
        <v>1563</v>
      </c>
    </row>
    <row r="23" spans="1:12" ht="16" x14ac:dyDescent="0.2">
      <c r="A23" s="15"/>
      <c r="B23" s="15"/>
      <c r="C23" s="16"/>
      <c r="E23" s="16"/>
      <c r="I23" s="6">
        <f>(I18/I20)*100</f>
        <v>83.7</v>
      </c>
      <c r="J23" s="6">
        <f>(J18/J20)*100</f>
        <v>76.036363636363632</v>
      </c>
      <c r="K23" s="6">
        <f>(K18/K20)*100</f>
        <v>72.288888888888891</v>
      </c>
      <c r="L23" s="6">
        <f>(L18/L20)*100</f>
        <v>69.899038461538467</v>
      </c>
    </row>
    <row r="24" spans="1:12" ht="16" x14ac:dyDescent="0.2">
      <c r="A24" s="15"/>
      <c r="B24" s="15"/>
      <c r="C24" s="16"/>
      <c r="E24" s="16"/>
    </row>
    <row r="25" spans="1:12" ht="16" x14ac:dyDescent="0.2">
      <c r="A25" s="15"/>
      <c r="B25" s="15"/>
      <c r="C25" s="16"/>
      <c r="E25" s="16"/>
    </row>
    <row r="26" spans="1:12" ht="16" x14ac:dyDescent="0.2">
      <c r="C26" s="16"/>
      <c r="E26" s="16"/>
    </row>
    <row r="27" spans="1:12" ht="16" x14ac:dyDescent="0.2">
      <c r="C27" s="16"/>
      <c r="E27" s="16"/>
    </row>
    <row r="28" spans="1:12" ht="16" x14ac:dyDescent="0.2">
      <c r="A28" s="15"/>
      <c r="B28" s="15"/>
      <c r="C28" s="16"/>
      <c r="E28" s="16"/>
    </row>
    <row r="29" spans="1:12" ht="16" x14ac:dyDescent="0.2">
      <c r="A29" s="15"/>
      <c r="B29" s="15"/>
      <c r="C29" s="16"/>
      <c r="E29" s="16"/>
    </row>
    <row r="30" spans="1:12" ht="16" x14ac:dyDescent="0.2">
      <c r="A30" s="15"/>
      <c r="B30" s="15"/>
      <c r="C30" s="16"/>
      <c r="E30" s="16"/>
    </row>
    <row r="31" spans="1:12" ht="16" x14ac:dyDescent="0.2">
      <c r="A31" s="15"/>
      <c r="B31" s="15"/>
      <c r="C31" s="16"/>
      <c r="E31" s="16"/>
    </row>
    <row r="32" spans="1:12" ht="16" x14ac:dyDescent="0.2">
      <c r="C32" s="16"/>
      <c r="E32" s="16"/>
    </row>
    <row r="33" spans="1:5" ht="16" x14ac:dyDescent="0.2">
      <c r="A33" s="15"/>
      <c r="B33" s="15"/>
      <c r="C33" s="16"/>
      <c r="E33" s="16"/>
    </row>
    <row r="34" spans="1:5" ht="16" x14ac:dyDescent="0.2">
      <c r="C34" s="16"/>
      <c r="E34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W75"/>
  <sheetViews>
    <sheetView topLeftCell="G23" workbookViewId="0">
      <selection activeCell="N46" sqref="N46:W46"/>
    </sheetView>
  </sheetViews>
  <sheetFormatPr baseColWidth="10" defaultRowHeight="15" x14ac:dyDescent="0.2"/>
  <cols>
    <col min="2" max="2" width="34.6640625" customWidth="1"/>
    <col min="19" max="19" width="11.83203125" bestFit="1" customWidth="1"/>
  </cols>
  <sheetData>
    <row r="1" spans="1:23" ht="16" x14ac:dyDescent="0.2">
      <c r="A1" s="3" t="s">
        <v>15</v>
      </c>
      <c r="B1" s="24" t="s">
        <v>681</v>
      </c>
      <c r="C1" s="3">
        <v>1993</v>
      </c>
      <c r="D1" s="3">
        <v>1995</v>
      </c>
      <c r="E1" s="3">
        <v>1998</v>
      </c>
      <c r="F1" s="3">
        <v>2002</v>
      </c>
      <c r="G1" s="3">
        <v>2006</v>
      </c>
      <c r="H1" s="3">
        <v>2010</v>
      </c>
      <c r="I1" s="3">
        <v>2011</v>
      </c>
      <c r="J1" s="3">
        <v>2014</v>
      </c>
      <c r="K1" s="3">
        <v>2018</v>
      </c>
      <c r="L1" s="3">
        <v>2022</v>
      </c>
      <c r="N1" s="3">
        <v>1993</v>
      </c>
      <c r="O1" s="3">
        <v>1995</v>
      </c>
      <c r="P1" s="3">
        <v>1998</v>
      </c>
      <c r="Q1" s="3">
        <v>2002</v>
      </c>
      <c r="R1" s="3">
        <v>2006</v>
      </c>
      <c r="S1" s="3">
        <v>2010</v>
      </c>
      <c r="T1" s="3">
        <v>2011</v>
      </c>
      <c r="U1" s="3">
        <v>2014</v>
      </c>
      <c r="V1" s="3">
        <v>2018</v>
      </c>
      <c r="W1" s="3">
        <v>2022</v>
      </c>
    </row>
    <row r="2" spans="1:23" x14ac:dyDescent="0.2">
      <c r="A2" s="8" t="s">
        <v>169</v>
      </c>
      <c r="B2" s="1" t="s">
        <v>999</v>
      </c>
      <c r="C2" s="1">
        <v>32.4</v>
      </c>
      <c r="D2" s="1">
        <v>14.7</v>
      </c>
      <c r="E2" s="1">
        <v>18.100000000000001</v>
      </c>
      <c r="F2" s="1">
        <v>4.9000000000000004</v>
      </c>
      <c r="M2" s="1"/>
      <c r="N2" s="1">
        <v>32.4</v>
      </c>
      <c r="O2" s="1">
        <f>(D2*0.1)+D2</f>
        <v>16.169999999999998</v>
      </c>
      <c r="P2" s="1">
        <f>(E2*0.25)+E2</f>
        <v>22.625</v>
      </c>
      <c r="Q2" s="1">
        <f>(F2*0.45)+F2</f>
        <v>7.1050000000000004</v>
      </c>
      <c r="R2" s="1"/>
      <c r="S2" s="1"/>
      <c r="T2" s="1"/>
      <c r="U2" s="1"/>
    </row>
    <row r="3" spans="1:23" x14ac:dyDescent="0.2">
      <c r="A3" s="8" t="s">
        <v>535</v>
      </c>
      <c r="B3" s="1" t="s">
        <v>1000</v>
      </c>
      <c r="C3" s="1">
        <v>12</v>
      </c>
      <c r="D3" s="1"/>
      <c r="E3" s="1"/>
      <c r="F3" s="1"/>
      <c r="M3" s="1"/>
      <c r="N3" s="1">
        <v>12</v>
      </c>
      <c r="O3" s="1"/>
      <c r="P3" s="1"/>
      <c r="Q3" s="1"/>
      <c r="R3" s="1"/>
      <c r="S3" s="1"/>
      <c r="T3" s="1"/>
      <c r="U3" s="1"/>
    </row>
    <row r="4" spans="1:23" x14ac:dyDescent="0.2">
      <c r="A4" s="8" t="s">
        <v>536</v>
      </c>
      <c r="B4" s="1" t="s">
        <v>1001</v>
      </c>
      <c r="C4" s="1"/>
      <c r="D4" s="1">
        <v>15</v>
      </c>
      <c r="E4" s="1">
        <v>1.7</v>
      </c>
      <c r="F4" s="1"/>
      <c r="M4" s="1"/>
      <c r="N4" s="1"/>
      <c r="O4" s="1">
        <v>15</v>
      </c>
      <c r="P4" s="1">
        <f>(E4*0.15)+E4</f>
        <v>1.9550000000000001</v>
      </c>
      <c r="Q4" s="1"/>
      <c r="R4" s="1"/>
      <c r="S4" s="1"/>
      <c r="T4" s="1"/>
      <c r="U4" s="1"/>
    </row>
    <row r="5" spans="1:23" x14ac:dyDescent="0.2">
      <c r="A5" s="8" t="s">
        <v>172</v>
      </c>
      <c r="B5" s="1" t="s">
        <v>1002</v>
      </c>
      <c r="D5" s="1">
        <v>5.6</v>
      </c>
      <c r="E5" s="1">
        <v>14.2</v>
      </c>
      <c r="M5" s="1"/>
      <c r="O5" s="1">
        <v>5.6</v>
      </c>
      <c r="P5" s="1">
        <f>(E5*0.15)+E5</f>
        <v>16.329999999999998</v>
      </c>
      <c r="Q5" s="1"/>
      <c r="R5" s="1"/>
      <c r="S5" s="1"/>
      <c r="T5" s="1"/>
      <c r="U5" s="1"/>
    </row>
    <row r="6" spans="1:23" x14ac:dyDescent="0.2">
      <c r="A6" s="8" t="s">
        <v>126</v>
      </c>
      <c r="B6" s="1" t="s">
        <v>1003</v>
      </c>
      <c r="C6" s="1">
        <v>5.8</v>
      </c>
      <c r="E6" s="1"/>
      <c r="F6" s="1"/>
      <c r="G6" s="1"/>
      <c r="H6" s="1"/>
      <c r="I6" s="1"/>
      <c r="J6" s="1"/>
      <c r="M6" s="1"/>
      <c r="N6" s="1">
        <v>5.8</v>
      </c>
      <c r="O6" s="1"/>
      <c r="P6" s="1"/>
      <c r="Q6" s="1"/>
      <c r="R6" s="1"/>
      <c r="S6" s="1"/>
      <c r="T6" s="1"/>
      <c r="U6" s="1"/>
    </row>
    <row r="7" spans="1:23" x14ac:dyDescent="0.2">
      <c r="A7" s="8" t="s">
        <v>537</v>
      </c>
      <c r="B7" s="1" t="s">
        <v>1004</v>
      </c>
      <c r="C7" s="1"/>
      <c r="D7" s="1">
        <v>5.6</v>
      </c>
      <c r="E7" s="1"/>
      <c r="F7" s="1"/>
      <c r="G7" s="1"/>
      <c r="H7" s="1"/>
      <c r="I7" s="1"/>
      <c r="J7" s="1"/>
      <c r="M7" s="1"/>
      <c r="N7" s="1"/>
      <c r="O7" s="1">
        <v>5.6</v>
      </c>
      <c r="P7" s="1"/>
      <c r="Q7" s="1"/>
      <c r="R7" s="1"/>
      <c r="S7" s="1"/>
      <c r="T7" s="1"/>
      <c r="U7" s="1"/>
    </row>
    <row r="8" spans="1:23" x14ac:dyDescent="0.2">
      <c r="A8" s="8" t="s">
        <v>173</v>
      </c>
      <c r="B8" s="1" t="s">
        <v>1005</v>
      </c>
      <c r="C8" s="1">
        <v>5.4</v>
      </c>
      <c r="D8" s="1">
        <v>12</v>
      </c>
      <c r="E8" s="1"/>
      <c r="F8" s="1"/>
      <c r="G8" s="1"/>
      <c r="H8" s="1"/>
      <c r="I8" s="1"/>
      <c r="J8" s="1"/>
      <c r="M8" s="1"/>
      <c r="N8" s="1">
        <v>5.4</v>
      </c>
      <c r="O8" s="1">
        <f>(D8*0.1)+D8</f>
        <v>13.2</v>
      </c>
      <c r="P8" s="1"/>
      <c r="Q8" s="1"/>
      <c r="R8" s="1"/>
      <c r="S8" s="1"/>
      <c r="T8" s="1"/>
      <c r="U8" s="1"/>
    </row>
    <row r="9" spans="1:23" x14ac:dyDescent="0.2">
      <c r="A9" s="8" t="s">
        <v>174</v>
      </c>
      <c r="B9" s="1" t="s">
        <v>1006</v>
      </c>
      <c r="C9" s="1">
        <v>13.4</v>
      </c>
      <c r="D9" s="1">
        <v>6.3</v>
      </c>
      <c r="E9" s="1"/>
      <c r="F9" s="1"/>
      <c r="G9" s="1"/>
      <c r="H9" s="1"/>
      <c r="I9" s="1"/>
      <c r="J9" s="1"/>
      <c r="M9" s="1"/>
      <c r="N9" s="1">
        <v>13.4</v>
      </c>
      <c r="O9" s="1">
        <f t="shared" ref="O9:O11" si="0">(D9*0.1)+D9</f>
        <v>6.93</v>
      </c>
      <c r="P9" s="1"/>
      <c r="Q9" s="1"/>
      <c r="R9" s="1"/>
      <c r="S9" s="1"/>
      <c r="T9" s="1"/>
      <c r="U9" s="1"/>
    </row>
    <row r="10" spans="1:23" x14ac:dyDescent="0.2">
      <c r="A10" s="8" t="s">
        <v>175</v>
      </c>
      <c r="B10" s="1" t="s">
        <v>989</v>
      </c>
      <c r="C10" s="1">
        <v>5</v>
      </c>
      <c r="D10" s="1">
        <v>6.4</v>
      </c>
      <c r="E10" s="1">
        <v>2.2999999999999998</v>
      </c>
      <c r="F10" s="1"/>
      <c r="G10" s="1"/>
      <c r="H10" s="1">
        <v>0.4</v>
      </c>
      <c r="I10" s="1">
        <v>0.2</v>
      </c>
      <c r="J10" s="1"/>
      <c r="M10" s="1"/>
      <c r="N10" s="1">
        <v>5</v>
      </c>
      <c r="O10" s="1">
        <f t="shared" si="0"/>
        <v>7.0400000000000009</v>
      </c>
      <c r="P10" s="1">
        <f>(E10*0.25)+E10</f>
        <v>2.875</v>
      </c>
      <c r="Q10" s="1"/>
      <c r="R10" s="1"/>
      <c r="S10" s="1">
        <f>(H10*0.85)+H10</f>
        <v>0.74</v>
      </c>
      <c r="T10" s="1">
        <f>(I10*0.9)+I10</f>
        <v>0.38</v>
      </c>
      <c r="U10" s="1"/>
    </row>
    <row r="11" spans="1:23" x14ac:dyDescent="0.2">
      <c r="A11" s="8" t="s">
        <v>177</v>
      </c>
      <c r="B11" s="1" t="s">
        <v>1007</v>
      </c>
      <c r="C11" s="1">
        <v>10.7</v>
      </c>
      <c r="D11" s="1">
        <v>1.4</v>
      </c>
      <c r="E11" s="1">
        <v>2.5</v>
      </c>
      <c r="F11" s="1"/>
      <c r="G11" s="1"/>
      <c r="H11" s="1"/>
      <c r="I11" s="1"/>
      <c r="J11" s="1"/>
      <c r="M11" s="1"/>
      <c r="N11" s="1">
        <v>10.7</v>
      </c>
      <c r="O11" s="1">
        <f t="shared" si="0"/>
        <v>1.5399999999999998</v>
      </c>
      <c r="P11" s="1">
        <f>(E11*0.25)+E11</f>
        <v>3.125</v>
      </c>
      <c r="Q11" s="1"/>
      <c r="R11" s="1"/>
      <c r="S11" s="1"/>
      <c r="T11" s="1"/>
      <c r="U11" s="1"/>
    </row>
    <row r="12" spans="1:23" x14ac:dyDescent="0.2">
      <c r="A12" s="8" t="s">
        <v>113</v>
      </c>
      <c r="B12" s="1" t="s">
        <v>1008</v>
      </c>
      <c r="C12" s="1"/>
      <c r="D12" s="1">
        <v>15.2</v>
      </c>
      <c r="E12" s="1">
        <v>1.6</v>
      </c>
      <c r="F12" s="1"/>
      <c r="G12" s="1"/>
      <c r="H12" s="1"/>
      <c r="I12" s="1"/>
      <c r="J12" s="1"/>
      <c r="M12" s="1"/>
      <c r="O12" s="1">
        <v>15.2</v>
      </c>
      <c r="P12" s="1">
        <f>(E12*0.15)+E12</f>
        <v>1.84</v>
      </c>
      <c r="Q12" s="1"/>
      <c r="R12" s="1"/>
      <c r="S12" s="1"/>
      <c r="T12" s="1"/>
      <c r="U12" s="1"/>
    </row>
    <row r="13" spans="1:23" x14ac:dyDescent="0.2">
      <c r="A13" s="8" t="s">
        <v>538</v>
      </c>
      <c r="B13" s="1" t="s">
        <v>1009</v>
      </c>
      <c r="C13" s="1">
        <v>4.8</v>
      </c>
      <c r="D13" s="3"/>
      <c r="E13" s="1"/>
      <c r="F13" s="1"/>
      <c r="G13" s="1"/>
      <c r="H13" s="1"/>
      <c r="I13" s="1"/>
      <c r="J13" s="1"/>
      <c r="M13" s="1"/>
      <c r="N13" s="1">
        <v>4.8</v>
      </c>
      <c r="O13" s="1"/>
      <c r="P13" s="1"/>
      <c r="Q13" s="1"/>
      <c r="R13" s="1"/>
      <c r="S13" s="1"/>
      <c r="T13" s="1"/>
      <c r="U13" s="1"/>
    </row>
    <row r="14" spans="1:23" x14ac:dyDescent="0.2">
      <c r="A14" s="8" t="s">
        <v>176</v>
      </c>
      <c r="B14" s="1" t="s">
        <v>1010</v>
      </c>
      <c r="C14" s="1">
        <v>0.1</v>
      </c>
      <c r="D14" s="1">
        <v>7.2</v>
      </c>
      <c r="E14" s="1">
        <v>0.5</v>
      </c>
      <c r="F14" s="1"/>
      <c r="G14" s="1"/>
      <c r="H14" s="1"/>
      <c r="I14" s="1"/>
      <c r="J14" s="1"/>
      <c r="M14" s="1"/>
      <c r="N14" s="1">
        <v>0.1</v>
      </c>
      <c r="O14" s="1">
        <f t="shared" ref="O14" si="1">(D14*0.1)+D14</f>
        <v>7.92</v>
      </c>
      <c r="P14" s="1">
        <f>(E14*0.25)+E14</f>
        <v>0.625</v>
      </c>
      <c r="Q14" s="1"/>
      <c r="R14" s="1"/>
      <c r="S14" s="1"/>
      <c r="T14" s="1"/>
      <c r="U14" s="1"/>
    </row>
    <row r="15" spans="1:23" ht="16" x14ac:dyDescent="0.2">
      <c r="A15" s="15" t="s">
        <v>539</v>
      </c>
      <c r="B15" s="1" t="s">
        <v>1011</v>
      </c>
      <c r="C15" s="1"/>
      <c r="D15" s="1"/>
      <c r="E15" s="1">
        <v>7.3</v>
      </c>
      <c r="F15" s="1"/>
      <c r="G15" s="1"/>
      <c r="H15" s="1"/>
      <c r="I15" s="1"/>
      <c r="J15" s="1"/>
      <c r="M15" s="1"/>
      <c r="N15" s="1"/>
      <c r="O15" s="1"/>
      <c r="P15" s="1">
        <v>7.3</v>
      </c>
      <c r="Q15" s="1"/>
      <c r="R15" s="1"/>
      <c r="S15" s="1"/>
      <c r="T15" s="1"/>
      <c r="U15" s="1"/>
    </row>
    <row r="16" spans="1:23" ht="16" x14ac:dyDescent="0.2">
      <c r="A16" s="8" t="s">
        <v>165</v>
      </c>
      <c r="B16" s="16" t="s">
        <v>1012</v>
      </c>
      <c r="C16" s="1"/>
      <c r="D16" s="1"/>
      <c r="F16" s="1">
        <v>9.5</v>
      </c>
      <c r="G16" s="1">
        <v>16.8</v>
      </c>
      <c r="H16" s="1">
        <v>20.100000000000001</v>
      </c>
      <c r="I16" s="1">
        <v>12.2</v>
      </c>
      <c r="J16" s="1">
        <v>19.5</v>
      </c>
      <c r="K16" s="1">
        <v>9.9</v>
      </c>
      <c r="L16" s="1">
        <v>12.6</v>
      </c>
      <c r="N16" s="1"/>
      <c r="O16" s="1"/>
      <c r="P16" s="1"/>
      <c r="Q16" s="1">
        <v>9.5</v>
      </c>
      <c r="R16" s="1">
        <f>(G16*0.2)+G16</f>
        <v>20.16</v>
      </c>
      <c r="S16" s="1">
        <f>(H16*0.4)+H16</f>
        <v>28.14</v>
      </c>
      <c r="T16" s="1">
        <f>(I16*0.45)+I16</f>
        <v>17.689999999999998</v>
      </c>
      <c r="U16" s="1">
        <f>(J16*0.6)+J16</f>
        <v>31.2</v>
      </c>
      <c r="V16" s="1">
        <f>(K16*0.8)+K16</f>
        <v>17.82</v>
      </c>
      <c r="W16" s="1">
        <f>(L16*1)+L16</f>
        <v>25.2</v>
      </c>
    </row>
    <row r="17" spans="1:23" x14ac:dyDescent="0.2">
      <c r="A17" s="8" t="s">
        <v>998</v>
      </c>
      <c r="B17" s="1" t="s">
        <v>1013</v>
      </c>
      <c r="C17" s="1"/>
      <c r="D17" s="1"/>
      <c r="E17" s="1">
        <v>14.7</v>
      </c>
      <c r="F17" s="1">
        <v>5.4</v>
      </c>
      <c r="G17" s="1">
        <v>7</v>
      </c>
      <c r="N17" s="1"/>
      <c r="O17" s="1"/>
      <c r="P17" s="1">
        <v>14.7</v>
      </c>
      <c r="Q17" s="1">
        <f>(F17*0.2)+F17</f>
        <v>6.48</v>
      </c>
      <c r="R17" s="1">
        <f>(G17*0.4)+G17</f>
        <v>9.8000000000000007</v>
      </c>
      <c r="S17" s="1"/>
      <c r="W17" s="1"/>
    </row>
    <row r="18" spans="1:23" ht="16" x14ac:dyDescent="0.2">
      <c r="A18" s="8" t="s">
        <v>170</v>
      </c>
      <c r="B18" s="16" t="s">
        <v>1014</v>
      </c>
      <c r="C18" s="1"/>
      <c r="D18" s="1"/>
      <c r="E18" s="1"/>
      <c r="F18" s="1"/>
      <c r="G18" s="1"/>
      <c r="H18" s="1">
        <v>7.8</v>
      </c>
      <c r="I18" s="1">
        <v>13.9</v>
      </c>
      <c r="J18" s="1">
        <v>16.600000000000001</v>
      </c>
      <c r="K18" s="1">
        <v>11</v>
      </c>
      <c r="L18" s="1">
        <v>9.4</v>
      </c>
      <c r="N18" s="1"/>
      <c r="O18" s="1"/>
      <c r="P18" s="1"/>
      <c r="Q18" s="1"/>
      <c r="R18" s="1"/>
      <c r="S18" s="1">
        <v>7.8</v>
      </c>
      <c r="T18" s="1">
        <f>(I18*0.05)+I18</f>
        <v>14.595000000000001</v>
      </c>
      <c r="U18" s="1">
        <f>(J18*0.2)+J18</f>
        <v>19.920000000000002</v>
      </c>
      <c r="V18" s="1">
        <f>(K18*0.4)+K18</f>
        <v>15.4</v>
      </c>
      <c r="W18" s="1">
        <f>(L18*0.6)+L18</f>
        <v>15.04</v>
      </c>
    </row>
    <row r="19" spans="1:23" x14ac:dyDescent="0.2">
      <c r="A19" s="8" t="s">
        <v>164</v>
      </c>
      <c r="B19" s="1" t="s">
        <v>717</v>
      </c>
      <c r="C19" s="1"/>
      <c r="D19" s="1"/>
      <c r="E19" s="1">
        <v>21.3</v>
      </c>
      <c r="F19" s="1">
        <v>16.7</v>
      </c>
      <c r="G19" s="1">
        <v>19.7</v>
      </c>
      <c r="H19" s="1">
        <v>7.8</v>
      </c>
      <c r="I19" s="1"/>
      <c r="J19" s="1"/>
      <c r="N19" s="1"/>
      <c r="O19" s="1"/>
      <c r="P19" s="1">
        <v>21.3</v>
      </c>
      <c r="Q19" s="1">
        <f>(F19*0.2)+F19</f>
        <v>20.04</v>
      </c>
      <c r="R19" s="1">
        <f>(G19*0.4)+G19</f>
        <v>27.58</v>
      </c>
      <c r="S19" s="1">
        <f>(H19*0.6)+H19</f>
        <v>12.48</v>
      </c>
      <c r="T19" s="1"/>
      <c r="U19" s="1"/>
      <c r="W19" s="1"/>
    </row>
    <row r="20" spans="1:23" x14ac:dyDescent="0.2">
      <c r="A20" s="8" t="s">
        <v>168</v>
      </c>
      <c r="B20" s="1" t="s">
        <v>1015</v>
      </c>
      <c r="C20" s="1"/>
      <c r="F20" s="1">
        <v>19.100000000000001</v>
      </c>
      <c r="G20" s="1">
        <v>6.1</v>
      </c>
      <c r="H20" s="1">
        <v>1.5</v>
      </c>
      <c r="I20" s="1">
        <v>0.8</v>
      </c>
      <c r="J20" s="1">
        <v>1.6</v>
      </c>
      <c r="K20" s="1">
        <v>3.2</v>
      </c>
      <c r="L20" s="1">
        <v>3.7</v>
      </c>
      <c r="N20" s="1"/>
      <c r="O20" s="1"/>
      <c r="P20" s="1"/>
      <c r="Q20" s="1">
        <v>19.100000000000001</v>
      </c>
      <c r="R20" s="1">
        <f>(G20*0.2)+G20</f>
        <v>7.3199999999999994</v>
      </c>
      <c r="S20" s="1">
        <f>(H20*0.4)+H20</f>
        <v>2.1</v>
      </c>
      <c r="T20" s="1">
        <f>(I20*0.45)+I20</f>
        <v>1.1600000000000001</v>
      </c>
      <c r="U20" s="1">
        <f>(J20*0.6)+J20</f>
        <v>2.56</v>
      </c>
      <c r="V20" s="1">
        <f>(K20*0.8)+K20</f>
        <v>5.7600000000000007</v>
      </c>
      <c r="W20" s="1">
        <f t="shared" ref="W20" si="2">(L20*1)+L20</f>
        <v>7.4</v>
      </c>
    </row>
    <row r="21" spans="1:23" x14ac:dyDescent="0.2">
      <c r="A21" s="8" t="s">
        <v>328</v>
      </c>
      <c r="B21" s="1" t="s">
        <v>1016</v>
      </c>
      <c r="C21" s="1">
        <v>0.7</v>
      </c>
      <c r="D21" s="1">
        <v>4.5999999999999996</v>
      </c>
      <c r="E21" s="1">
        <v>12.9</v>
      </c>
      <c r="F21" s="1">
        <v>4</v>
      </c>
      <c r="G21" s="1">
        <v>3.5</v>
      </c>
      <c r="H21" s="1"/>
      <c r="I21" s="1">
        <v>0.3</v>
      </c>
      <c r="J21" s="1"/>
      <c r="K21" s="1">
        <v>0.2</v>
      </c>
      <c r="L21" s="1"/>
      <c r="N21" s="1">
        <v>0.7</v>
      </c>
      <c r="O21" s="1">
        <f t="shared" ref="O21" si="3">(D21*0.1)+D21</f>
        <v>5.0599999999999996</v>
      </c>
      <c r="P21" s="1">
        <f>(E21*0.25)+E21</f>
        <v>16.125</v>
      </c>
      <c r="Q21" s="1">
        <f>(F21*0.45)+F21</f>
        <v>5.8</v>
      </c>
      <c r="R21" s="1">
        <f>(G21*0.65)+G21</f>
        <v>5.7750000000000004</v>
      </c>
      <c r="S21" s="1"/>
      <c r="T21" s="1">
        <f>(I21*0.9)+I21</f>
        <v>0.57000000000000006</v>
      </c>
      <c r="U21" s="1"/>
      <c r="V21" s="1">
        <f>(K21*1.1)+K21</f>
        <v>0.42000000000000004</v>
      </c>
      <c r="W21" s="1"/>
    </row>
    <row r="22" spans="1:23" x14ac:dyDescent="0.2">
      <c r="A22" s="8" t="s">
        <v>137</v>
      </c>
      <c r="B22" s="1" t="s">
        <v>1017</v>
      </c>
      <c r="C22" s="1"/>
      <c r="D22" s="1"/>
      <c r="E22" s="1"/>
      <c r="F22" s="1">
        <v>24</v>
      </c>
      <c r="G22" s="1">
        <v>16.5</v>
      </c>
      <c r="I22" s="1"/>
      <c r="J22" s="1"/>
      <c r="N22" s="1"/>
      <c r="O22" s="1"/>
      <c r="P22" s="1"/>
      <c r="Q22" s="1">
        <v>24</v>
      </c>
      <c r="R22" s="1">
        <f>(G22*0.2)+G22</f>
        <v>19.8</v>
      </c>
      <c r="S22" s="1"/>
      <c r="T22" s="1"/>
      <c r="U22" s="1"/>
      <c r="W22" s="1"/>
    </row>
    <row r="23" spans="1:23" x14ac:dyDescent="0.2">
      <c r="A23" s="8" t="s">
        <v>171</v>
      </c>
      <c r="B23" s="1" t="s">
        <v>1018</v>
      </c>
      <c r="C23" s="1"/>
      <c r="D23" s="1"/>
      <c r="E23" s="1"/>
      <c r="F23" s="1">
        <v>9.6</v>
      </c>
      <c r="G23" s="1"/>
      <c r="I23" s="1"/>
      <c r="J23" s="1"/>
      <c r="N23" s="1"/>
      <c r="O23" s="1"/>
      <c r="P23" s="1"/>
      <c r="Q23" s="1">
        <v>9.6</v>
      </c>
      <c r="R23" s="1"/>
      <c r="S23" s="1"/>
      <c r="T23" s="1"/>
      <c r="U23" s="1"/>
      <c r="W23" s="1"/>
    </row>
    <row r="24" spans="1:23" ht="16" x14ac:dyDescent="0.2">
      <c r="A24" s="15" t="s">
        <v>540</v>
      </c>
      <c r="B24" s="16" t="s">
        <v>1019</v>
      </c>
      <c r="C24" s="1"/>
      <c r="D24" s="1"/>
      <c r="E24" s="1"/>
      <c r="F24" s="1"/>
      <c r="G24" s="1"/>
      <c r="I24" s="1"/>
      <c r="J24" s="1">
        <v>6.9</v>
      </c>
      <c r="K24" s="1">
        <v>0.8</v>
      </c>
      <c r="L24" s="1"/>
      <c r="N24" s="1"/>
      <c r="O24" s="1"/>
      <c r="P24" s="1"/>
      <c r="Q24" s="1"/>
      <c r="R24" s="1"/>
      <c r="S24" s="1"/>
      <c r="T24" s="1"/>
      <c r="U24" s="1">
        <v>6.9</v>
      </c>
      <c r="V24" s="1">
        <f>(K24*0.2)+K24</f>
        <v>0.96000000000000008</v>
      </c>
      <c r="W24" s="1"/>
    </row>
    <row r="25" spans="1:23" ht="16" x14ac:dyDescent="0.2">
      <c r="A25" s="15" t="s">
        <v>541</v>
      </c>
      <c r="B25" s="16" t="s">
        <v>1481</v>
      </c>
      <c r="C25" s="1"/>
      <c r="D25" s="1"/>
      <c r="E25" s="1"/>
      <c r="F25" s="1"/>
      <c r="G25" s="1"/>
      <c r="I25" s="1"/>
      <c r="J25" s="1">
        <v>6.7</v>
      </c>
      <c r="K25" s="1">
        <v>4.0999999999999996</v>
      </c>
      <c r="L25" s="1">
        <v>11.1</v>
      </c>
      <c r="N25" s="1"/>
      <c r="O25" s="1"/>
      <c r="P25" s="1"/>
      <c r="Q25" s="1"/>
      <c r="R25" s="1"/>
      <c r="S25" s="1"/>
      <c r="T25" s="1"/>
      <c r="U25" s="1">
        <v>6.7</v>
      </c>
      <c r="V25" s="1">
        <f>(K25*0.2)+K25</f>
        <v>4.92</v>
      </c>
      <c r="W25" s="1">
        <f>(L25*0.4)+L25</f>
        <v>15.54</v>
      </c>
    </row>
    <row r="26" spans="1:23" ht="16" x14ac:dyDescent="0.2">
      <c r="A26" s="8" t="s">
        <v>252</v>
      </c>
      <c r="B26" s="16" t="s">
        <v>1020</v>
      </c>
      <c r="C26" s="1"/>
      <c r="D26" s="1"/>
      <c r="E26" s="1"/>
      <c r="F26" s="1"/>
      <c r="G26" s="1"/>
      <c r="I26" s="1">
        <v>20.8</v>
      </c>
      <c r="J26" s="1"/>
      <c r="N26" s="1"/>
      <c r="O26" s="1"/>
      <c r="P26" s="1"/>
      <c r="Q26" s="1"/>
      <c r="R26" s="1"/>
      <c r="S26" s="1"/>
      <c r="T26" s="1">
        <v>20.8</v>
      </c>
      <c r="U26" s="1"/>
      <c r="W26" s="1"/>
    </row>
    <row r="27" spans="1:23" ht="16" x14ac:dyDescent="0.2">
      <c r="A27" s="8" t="s">
        <v>1365</v>
      </c>
      <c r="B27" s="16" t="s">
        <v>1366</v>
      </c>
      <c r="C27" s="1"/>
      <c r="D27" s="1"/>
      <c r="E27" s="1"/>
      <c r="F27" s="1"/>
      <c r="G27" s="1"/>
      <c r="I27" s="1"/>
      <c r="J27" s="1"/>
      <c r="K27" s="1">
        <v>12</v>
      </c>
      <c r="L27" s="1">
        <v>5</v>
      </c>
      <c r="N27" s="1"/>
      <c r="O27" s="1"/>
      <c r="P27" s="1"/>
      <c r="Q27" s="1"/>
      <c r="R27" s="1"/>
      <c r="S27" s="1"/>
      <c r="T27" s="1"/>
      <c r="U27" s="1"/>
      <c r="V27" s="1">
        <v>12</v>
      </c>
      <c r="W27" s="1">
        <f>(L27*0.2)+L27</f>
        <v>6</v>
      </c>
    </row>
    <row r="28" spans="1:23" ht="16" x14ac:dyDescent="0.2">
      <c r="A28" s="8" t="s">
        <v>1487</v>
      </c>
      <c r="B28" s="16" t="s">
        <v>1482</v>
      </c>
      <c r="C28" s="1"/>
      <c r="D28" s="1"/>
      <c r="E28" s="1"/>
      <c r="F28" s="1"/>
      <c r="G28" s="1"/>
      <c r="I28" s="1"/>
      <c r="J28" s="1"/>
      <c r="K28" s="1"/>
      <c r="L28" s="1">
        <v>6.9</v>
      </c>
      <c r="N28" s="1"/>
      <c r="O28" s="1"/>
      <c r="P28" s="1"/>
      <c r="Q28" s="1"/>
      <c r="R28" s="1"/>
      <c r="S28" s="1"/>
      <c r="T28" s="1"/>
      <c r="U28" s="1"/>
      <c r="V28" s="1"/>
      <c r="W28" s="1">
        <v>6.9</v>
      </c>
    </row>
    <row r="29" spans="1:23" ht="16" x14ac:dyDescent="0.2">
      <c r="A29" s="8" t="s">
        <v>1488</v>
      </c>
      <c r="B29" s="16" t="s">
        <v>1483</v>
      </c>
      <c r="C29" s="1"/>
      <c r="D29" s="1"/>
      <c r="E29" s="1"/>
      <c r="F29" s="1"/>
      <c r="G29" s="1"/>
      <c r="I29" s="1"/>
      <c r="J29" s="1"/>
      <c r="K29" s="1"/>
      <c r="L29" s="1">
        <v>6.3</v>
      </c>
      <c r="N29" s="1"/>
      <c r="O29" s="1"/>
      <c r="P29" s="1"/>
      <c r="Q29" s="1"/>
      <c r="R29" s="1"/>
      <c r="S29" s="1"/>
      <c r="T29" s="1"/>
      <c r="U29" s="1"/>
      <c r="V29" s="1"/>
      <c r="W29" s="1">
        <v>6.3</v>
      </c>
    </row>
    <row r="30" spans="1:23" ht="16" x14ac:dyDescent="0.2">
      <c r="A30" s="8" t="s">
        <v>635</v>
      </c>
      <c r="B30" s="16" t="s">
        <v>1485</v>
      </c>
      <c r="C30" s="1"/>
      <c r="D30" s="1"/>
      <c r="E30" s="1"/>
      <c r="F30" s="1"/>
      <c r="G30" s="1"/>
      <c r="I30" s="1"/>
      <c r="J30" s="1"/>
      <c r="K30" s="37">
        <v>2.6</v>
      </c>
      <c r="L30" s="1">
        <v>6.2</v>
      </c>
      <c r="N30" s="1"/>
      <c r="O30" s="1"/>
      <c r="P30" s="1"/>
      <c r="Q30" s="1"/>
      <c r="R30" s="1"/>
      <c r="S30" s="1"/>
      <c r="T30" s="1"/>
      <c r="U30" s="1"/>
      <c r="V30" s="1">
        <v>2.6</v>
      </c>
      <c r="W30" s="1">
        <f>(L30*0.2)+L30</f>
        <v>7.44</v>
      </c>
    </row>
    <row r="31" spans="1:23" ht="16" x14ac:dyDescent="0.2">
      <c r="A31" s="8" t="s">
        <v>1489</v>
      </c>
      <c r="B31" s="16" t="s">
        <v>1490</v>
      </c>
      <c r="C31" s="1"/>
      <c r="D31" s="1"/>
      <c r="E31" s="1"/>
      <c r="F31" s="1"/>
      <c r="G31" s="1"/>
      <c r="I31" s="1"/>
      <c r="J31" s="1"/>
      <c r="K31" s="1"/>
      <c r="L31" s="1">
        <v>3.7</v>
      </c>
      <c r="N31" s="1"/>
      <c r="O31" s="1"/>
      <c r="P31" s="1"/>
      <c r="Q31" s="1"/>
      <c r="R31" s="1"/>
      <c r="S31" s="1"/>
      <c r="T31" s="1"/>
      <c r="U31" s="1"/>
      <c r="V31" s="1"/>
      <c r="W31" s="1">
        <v>3.7</v>
      </c>
    </row>
    <row r="32" spans="1:23" ht="16" x14ac:dyDescent="0.2">
      <c r="A32" s="8" t="s">
        <v>369</v>
      </c>
      <c r="B32" s="16" t="s">
        <v>1484</v>
      </c>
      <c r="C32" s="1"/>
      <c r="D32" s="1"/>
      <c r="E32" s="1"/>
      <c r="F32" s="1"/>
      <c r="G32" s="1"/>
      <c r="I32" s="1"/>
      <c r="J32" s="1"/>
      <c r="K32" s="1"/>
      <c r="L32" s="1">
        <v>3.3</v>
      </c>
      <c r="N32" s="1"/>
      <c r="O32" s="1"/>
      <c r="P32" s="1"/>
      <c r="Q32" s="1"/>
      <c r="R32" s="1"/>
      <c r="S32" s="1"/>
      <c r="T32" s="1"/>
      <c r="U32" s="1"/>
      <c r="V32" s="1"/>
      <c r="W32" s="1">
        <v>3.3</v>
      </c>
    </row>
    <row r="33" spans="1:23" ht="16" x14ac:dyDescent="0.2">
      <c r="A33" s="8" t="s">
        <v>1363</v>
      </c>
      <c r="B33" s="16" t="s">
        <v>1362</v>
      </c>
      <c r="C33" s="1"/>
      <c r="D33" s="1"/>
      <c r="E33" s="1"/>
      <c r="F33" s="1"/>
      <c r="G33" s="1"/>
      <c r="I33" s="1"/>
      <c r="J33" s="1"/>
      <c r="K33" s="1">
        <v>14.3</v>
      </c>
      <c r="L33" s="1">
        <v>0.3</v>
      </c>
      <c r="N33" s="1"/>
      <c r="O33" s="1"/>
      <c r="P33" s="1"/>
      <c r="Q33" s="1"/>
      <c r="R33" s="1"/>
      <c r="S33" s="1"/>
      <c r="T33" s="1"/>
      <c r="U33" s="1"/>
      <c r="V33" s="1">
        <v>14.3</v>
      </c>
      <c r="W33" s="1">
        <f>(L33*0.2)+L33</f>
        <v>0.36</v>
      </c>
    </row>
    <row r="34" spans="1:23" ht="16" x14ac:dyDescent="0.2">
      <c r="A34" s="8" t="s">
        <v>1364</v>
      </c>
      <c r="B34" s="16" t="s">
        <v>1361</v>
      </c>
      <c r="C34" s="1"/>
      <c r="D34" s="1"/>
      <c r="E34" s="1"/>
      <c r="F34" s="1"/>
      <c r="G34" s="1"/>
      <c r="I34" s="1"/>
      <c r="J34" s="1">
        <v>0.7</v>
      </c>
      <c r="K34" s="1">
        <v>13.6</v>
      </c>
      <c r="L34" s="1">
        <v>3.1</v>
      </c>
      <c r="N34" s="1"/>
      <c r="O34" s="1"/>
      <c r="P34" s="1"/>
      <c r="Q34" s="1"/>
      <c r="R34" s="1"/>
      <c r="S34" s="1"/>
      <c r="T34" s="1"/>
      <c r="U34" s="1">
        <v>0.7</v>
      </c>
      <c r="V34" s="1">
        <f>(K34*0.2)+K34</f>
        <v>16.32</v>
      </c>
      <c r="W34" s="1">
        <f>(L34*0.4)+L34</f>
        <v>4.34</v>
      </c>
    </row>
    <row r="35" spans="1:23" ht="16" x14ac:dyDescent="0.2">
      <c r="A35" s="8" t="s">
        <v>166</v>
      </c>
      <c r="B35" s="16" t="s">
        <v>1021</v>
      </c>
      <c r="C35" s="1"/>
      <c r="D35" s="1"/>
      <c r="E35" s="1"/>
      <c r="F35" s="1"/>
      <c r="G35" s="1">
        <v>14.5</v>
      </c>
      <c r="H35" s="1">
        <v>26.6</v>
      </c>
      <c r="I35" s="1">
        <v>28.4</v>
      </c>
      <c r="J35" s="1">
        <v>23</v>
      </c>
      <c r="K35" s="1">
        <v>19.8</v>
      </c>
      <c r="L35" s="1">
        <v>4.9000000000000004</v>
      </c>
      <c r="N35" s="1"/>
      <c r="O35" s="1"/>
      <c r="P35" s="1"/>
      <c r="Q35" s="1"/>
      <c r="R35" s="1">
        <v>14.5</v>
      </c>
      <c r="S35" s="1">
        <f>(H35*0.2)+H35</f>
        <v>31.92</v>
      </c>
      <c r="T35" s="1">
        <f>(I35*0.25)+I35</f>
        <v>35.5</v>
      </c>
      <c r="U35" s="1">
        <f>(J35*0.4)+J35</f>
        <v>32.200000000000003</v>
      </c>
      <c r="V35" s="1">
        <f>(K35*0.6)+K35</f>
        <v>31.68</v>
      </c>
      <c r="W35" s="1">
        <f>(L35*0.8)+L35</f>
        <v>8.82</v>
      </c>
    </row>
    <row r="36" spans="1:23" x14ac:dyDescent="0.2">
      <c r="A36" s="8" t="s">
        <v>167</v>
      </c>
      <c r="B36" s="1" t="s">
        <v>1022</v>
      </c>
      <c r="C36" s="1"/>
      <c r="D36" s="1"/>
      <c r="E36" s="1"/>
      <c r="F36" s="1"/>
      <c r="G36" s="1">
        <v>8.6</v>
      </c>
      <c r="H36" s="1"/>
      <c r="I36" s="1">
        <v>2.4</v>
      </c>
      <c r="J36" s="1"/>
      <c r="N36" s="1"/>
      <c r="O36" s="1"/>
      <c r="P36" s="1"/>
      <c r="Q36" s="1"/>
      <c r="R36" s="1">
        <v>8.6</v>
      </c>
      <c r="S36" s="1"/>
      <c r="T36" s="1">
        <f>(I36*0.25)+I36</f>
        <v>3</v>
      </c>
      <c r="U36" s="1"/>
      <c r="W36" s="1"/>
    </row>
    <row r="37" spans="1:23" ht="16" x14ac:dyDescent="0.2">
      <c r="A37" s="8" t="s">
        <v>142</v>
      </c>
      <c r="B37" s="16" t="s">
        <v>862</v>
      </c>
      <c r="C37" s="1"/>
      <c r="D37" s="1"/>
      <c r="E37" s="1"/>
      <c r="F37" s="1"/>
      <c r="G37" s="1"/>
      <c r="H37" s="1">
        <v>31.9</v>
      </c>
      <c r="I37" s="1">
        <v>18.8</v>
      </c>
      <c r="J37" s="1">
        <v>21.9</v>
      </c>
      <c r="K37" s="1">
        <v>6.7</v>
      </c>
      <c r="L37" s="1">
        <v>19.2</v>
      </c>
      <c r="N37" s="1"/>
      <c r="O37" s="1"/>
      <c r="P37" s="1"/>
      <c r="Q37" s="1"/>
      <c r="R37" s="1"/>
      <c r="S37" s="1">
        <v>31.9</v>
      </c>
      <c r="T37" s="1">
        <f>(I37*0.05)+I37</f>
        <v>19.740000000000002</v>
      </c>
      <c r="U37" s="1">
        <f>(J37*0.2)+J37</f>
        <v>26.279999999999998</v>
      </c>
      <c r="V37" s="1">
        <f>(K37*0.4)+K37</f>
        <v>9.3800000000000008</v>
      </c>
      <c r="W37" s="1">
        <f>(L37*0.6)+L37</f>
        <v>30.72</v>
      </c>
    </row>
    <row r="38" spans="1:23" x14ac:dyDescent="0.2">
      <c r="M38" s="3" t="s">
        <v>14</v>
      </c>
      <c r="N38" s="1">
        <f t="shared" ref="N38:W38" si="4">SUM(N2:N37)</f>
        <v>90.3</v>
      </c>
      <c r="O38" s="1">
        <f t="shared" si="4"/>
        <v>99.26</v>
      </c>
      <c r="P38" s="1">
        <f t="shared" si="4"/>
        <v>108.8</v>
      </c>
      <c r="Q38" s="1">
        <f t="shared" si="4"/>
        <v>101.625</v>
      </c>
      <c r="R38" s="1">
        <f t="shared" si="4"/>
        <v>113.535</v>
      </c>
      <c r="S38" s="1">
        <f t="shared" si="4"/>
        <v>115.08000000000001</v>
      </c>
      <c r="T38" s="1">
        <f t="shared" si="4"/>
        <v>113.435</v>
      </c>
      <c r="U38" s="1">
        <f t="shared" si="4"/>
        <v>126.46000000000001</v>
      </c>
      <c r="V38" s="1">
        <f t="shared" si="4"/>
        <v>131.56</v>
      </c>
      <c r="W38" s="1">
        <f t="shared" si="4"/>
        <v>141.06</v>
      </c>
    </row>
    <row r="40" spans="1:23" x14ac:dyDescent="0.2">
      <c r="N40" s="37">
        <v>100</v>
      </c>
      <c r="O40" s="37">
        <v>110</v>
      </c>
      <c r="P40" s="37">
        <v>125</v>
      </c>
      <c r="Q40" s="37">
        <v>145</v>
      </c>
      <c r="R40" s="37">
        <v>165</v>
      </c>
      <c r="S40" s="37">
        <v>185</v>
      </c>
      <c r="T40" s="37">
        <v>190</v>
      </c>
      <c r="U40" s="37">
        <v>205</v>
      </c>
      <c r="V40" s="37">
        <v>225</v>
      </c>
      <c r="W40" s="37">
        <v>245</v>
      </c>
    </row>
    <row r="42" spans="1:23" x14ac:dyDescent="0.2">
      <c r="N42" s="1">
        <f>N38</f>
        <v>90.3</v>
      </c>
      <c r="O42" s="1">
        <f>SUM(N42+O38)</f>
        <v>189.56</v>
      </c>
      <c r="P42" s="1">
        <f>SUM(O42+P38)</f>
        <v>298.36</v>
      </c>
      <c r="Q42" s="1">
        <f>SUM(P42+Q38)</f>
        <v>399.98500000000001</v>
      </c>
      <c r="R42" s="1">
        <f t="shared" ref="R42:W42" si="5">SUM(Q42+R38)</f>
        <v>513.52</v>
      </c>
      <c r="S42" s="1">
        <f t="shared" si="5"/>
        <v>628.6</v>
      </c>
      <c r="T42" s="1">
        <f t="shared" si="5"/>
        <v>742.03500000000008</v>
      </c>
      <c r="U42" s="1">
        <f t="shared" si="5"/>
        <v>868.49500000000012</v>
      </c>
      <c r="V42" s="1">
        <f t="shared" si="5"/>
        <v>1000.0550000000001</v>
      </c>
      <c r="W42" s="1">
        <f t="shared" si="5"/>
        <v>1141.115</v>
      </c>
    </row>
    <row r="43" spans="1:23" x14ac:dyDescent="0.2">
      <c r="N43" s="3"/>
      <c r="O43" s="3"/>
      <c r="P43" s="3"/>
      <c r="R43" s="3"/>
      <c r="S43" s="3"/>
      <c r="T43" s="5"/>
    </row>
    <row r="44" spans="1:23" x14ac:dyDescent="0.2">
      <c r="N44" s="1">
        <v>100</v>
      </c>
      <c r="O44" s="1">
        <f>SUM(N44+O40)</f>
        <v>210</v>
      </c>
      <c r="P44" s="1">
        <f>SUM(O44+P40)</f>
        <v>335</v>
      </c>
      <c r="Q44" s="1">
        <f>SUM(P44+Q40)</f>
        <v>480</v>
      </c>
      <c r="R44" s="1">
        <f t="shared" ref="R44:W44" si="6">SUM(Q44+R40)</f>
        <v>645</v>
      </c>
      <c r="S44" s="1">
        <f t="shared" si="6"/>
        <v>830</v>
      </c>
      <c r="T44" s="1">
        <f t="shared" si="6"/>
        <v>1020</v>
      </c>
      <c r="U44" s="1">
        <f t="shared" si="6"/>
        <v>1225</v>
      </c>
      <c r="V44" s="1">
        <f t="shared" si="6"/>
        <v>1450</v>
      </c>
      <c r="W44" s="1">
        <f t="shared" si="6"/>
        <v>1695</v>
      </c>
    </row>
    <row r="45" spans="1:23" x14ac:dyDescent="0.2">
      <c r="F45" s="1"/>
      <c r="G45" s="1"/>
      <c r="H45" s="1"/>
      <c r="I45" s="1"/>
      <c r="J45" s="1"/>
    </row>
    <row r="46" spans="1:23" ht="16" x14ac:dyDescent="0.2">
      <c r="A46" s="15"/>
      <c r="B46" s="15"/>
      <c r="C46" s="1"/>
      <c r="D46" s="1"/>
      <c r="N46" s="4" t="s">
        <v>1563</v>
      </c>
      <c r="O46" s="4" t="s">
        <v>1563</v>
      </c>
      <c r="P46" s="4" t="s">
        <v>1563</v>
      </c>
      <c r="Q46" s="4" t="s">
        <v>1563</v>
      </c>
      <c r="R46" s="4" t="s">
        <v>1563</v>
      </c>
      <c r="S46" s="4" t="s">
        <v>1563</v>
      </c>
      <c r="T46" s="4" t="s">
        <v>1563</v>
      </c>
      <c r="U46" s="4" t="s">
        <v>1563</v>
      </c>
      <c r="V46" s="4" t="s">
        <v>1563</v>
      </c>
      <c r="W46" s="4" t="s">
        <v>1563</v>
      </c>
    </row>
    <row r="47" spans="1:23" ht="16" x14ac:dyDescent="0.2">
      <c r="A47" s="15"/>
      <c r="B47" s="15"/>
      <c r="C47" s="1"/>
      <c r="D47" s="1"/>
      <c r="N47" s="6">
        <f>(N42/N44)*100</f>
        <v>90.3</v>
      </c>
      <c r="O47" s="6">
        <f>(O42/O44)*100</f>
        <v>90.26666666666668</v>
      </c>
      <c r="P47" s="6">
        <f>(P42/P44)*100</f>
        <v>89.062686567164178</v>
      </c>
      <c r="Q47" s="6">
        <f>(Q42/Q44)*100</f>
        <v>83.330208333333331</v>
      </c>
      <c r="R47" s="6">
        <f t="shared" ref="R47:T47" si="7">(R42/R44)*100</f>
        <v>79.615503875968983</v>
      </c>
      <c r="S47" s="6">
        <f t="shared" si="7"/>
        <v>75.734939759036152</v>
      </c>
      <c r="T47" s="6">
        <f t="shared" si="7"/>
        <v>72.748529411764721</v>
      </c>
      <c r="U47" s="6">
        <f>(U42/U44)*100</f>
        <v>70.897551020408173</v>
      </c>
      <c r="V47" s="6">
        <f t="shared" ref="V47:W47" si="8">(V42/V44)*100</f>
        <v>68.969310344827591</v>
      </c>
      <c r="W47" s="6">
        <f t="shared" si="8"/>
        <v>67.322418879056045</v>
      </c>
    </row>
    <row r="48" spans="1:23" ht="16" x14ac:dyDescent="0.2">
      <c r="A48" s="15"/>
      <c r="B48" s="15"/>
      <c r="C48" s="1"/>
      <c r="D48" s="1"/>
    </row>
    <row r="49" spans="1:23" ht="16" x14ac:dyDescent="0.2">
      <c r="A49" s="15"/>
      <c r="B49" s="15"/>
      <c r="C49" s="1"/>
      <c r="D49" s="1"/>
    </row>
    <row r="50" spans="1:23" ht="16" x14ac:dyDescent="0.2">
      <c r="A50" s="15"/>
      <c r="B50" s="15"/>
      <c r="C50" s="1"/>
      <c r="D50" s="1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6" x14ac:dyDescent="0.2">
      <c r="A51" s="15"/>
      <c r="B51" s="15"/>
      <c r="C51" s="1"/>
      <c r="D51" s="1"/>
    </row>
    <row r="52" spans="1:23" ht="16" x14ac:dyDescent="0.2">
      <c r="A52" s="15"/>
      <c r="B52" s="15"/>
      <c r="C52" s="1"/>
      <c r="D52" s="1"/>
    </row>
    <row r="53" spans="1:23" ht="16" x14ac:dyDescent="0.2">
      <c r="A53" s="15"/>
      <c r="B53" s="15"/>
      <c r="C53" s="1"/>
      <c r="D53" s="1"/>
    </row>
    <row r="54" spans="1:23" ht="16" x14ac:dyDescent="0.2">
      <c r="A54" s="15"/>
      <c r="B54" s="15"/>
      <c r="C54" s="1"/>
      <c r="D54" s="1"/>
    </row>
    <row r="55" spans="1:23" ht="16" x14ac:dyDescent="0.2">
      <c r="A55" s="15"/>
      <c r="B55" s="15"/>
      <c r="C55" s="1"/>
      <c r="D55" s="1"/>
    </row>
    <row r="56" spans="1:23" ht="16" x14ac:dyDescent="0.2">
      <c r="A56" s="15"/>
      <c r="B56" s="15"/>
      <c r="C56" s="1"/>
      <c r="D56" s="1"/>
    </row>
    <row r="57" spans="1:23" ht="16" x14ac:dyDescent="0.2">
      <c r="A57" s="15"/>
      <c r="B57" s="15"/>
      <c r="C57" s="1"/>
      <c r="D57" s="1"/>
    </row>
    <row r="58" spans="1:23" ht="16" x14ac:dyDescent="0.2">
      <c r="A58" s="15"/>
      <c r="B58" s="15"/>
      <c r="C58" s="1"/>
      <c r="D58" s="1"/>
    </row>
    <row r="59" spans="1:23" ht="16" x14ac:dyDescent="0.2">
      <c r="A59" s="15"/>
      <c r="B59" s="15"/>
      <c r="C59" s="1"/>
      <c r="D59" s="1"/>
    </row>
    <row r="60" spans="1:23" ht="16" x14ac:dyDescent="0.2">
      <c r="A60" s="15"/>
      <c r="B60" s="15"/>
      <c r="C60" s="1"/>
      <c r="D60" s="1"/>
    </row>
    <row r="61" spans="1:23" ht="16" x14ac:dyDescent="0.2">
      <c r="A61" s="15"/>
      <c r="B61" s="15"/>
      <c r="C61" s="1"/>
      <c r="D61" s="1"/>
    </row>
    <row r="62" spans="1:23" ht="16" x14ac:dyDescent="0.2">
      <c r="A62" s="15"/>
      <c r="B62" s="15"/>
      <c r="C62" s="1"/>
      <c r="D62" s="1"/>
    </row>
    <row r="63" spans="1:23" ht="16" x14ac:dyDescent="0.2">
      <c r="A63" s="15"/>
      <c r="B63" s="15"/>
      <c r="C63" s="1"/>
      <c r="D63" s="1"/>
    </row>
    <row r="64" spans="1:23" ht="16" x14ac:dyDescent="0.2">
      <c r="A64" s="15"/>
      <c r="B64" s="15"/>
      <c r="C64" s="1"/>
      <c r="D64" s="1"/>
    </row>
    <row r="65" spans="1:4" ht="16" x14ac:dyDescent="0.2">
      <c r="A65" s="15"/>
      <c r="B65" s="15"/>
      <c r="C65" s="1"/>
      <c r="D65" s="1"/>
    </row>
    <row r="66" spans="1:4" ht="16" x14ac:dyDescent="0.2">
      <c r="A66" s="15"/>
      <c r="B66" s="15"/>
      <c r="C66" s="1"/>
      <c r="D66" s="1"/>
    </row>
    <row r="67" spans="1:4" ht="16" x14ac:dyDescent="0.2">
      <c r="A67" s="15"/>
      <c r="B67" s="15"/>
      <c r="C67" s="1"/>
      <c r="D67" s="1"/>
    </row>
    <row r="68" spans="1:4" ht="16" x14ac:dyDescent="0.2">
      <c r="A68" s="15"/>
      <c r="B68" s="15"/>
      <c r="C68" s="1"/>
      <c r="D68" s="1"/>
    </row>
    <row r="69" spans="1:4" ht="16" x14ac:dyDescent="0.2">
      <c r="A69" s="15"/>
      <c r="B69" s="15"/>
      <c r="C69" s="16"/>
      <c r="D69" s="16"/>
    </row>
    <row r="70" spans="1:4" ht="16" x14ac:dyDescent="0.2">
      <c r="A70" s="15"/>
      <c r="B70" s="15"/>
      <c r="C70" s="16"/>
      <c r="D70" s="16"/>
    </row>
    <row r="71" spans="1:4" ht="16" x14ac:dyDescent="0.2">
      <c r="A71" s="15"/>
      <c r="B71" s="15"/>
      <c r="C71" s="16"/>
      <c r="D71" s="16"/>
    </row>
    <row r="72" spans="1:4" ht="16" x14ac:dyDescent="0.2">
      <c r="A72" s="15"/>
      <c r="B72" s="15"/>
      <c r="C72" s="16"/>
      <c r="D72" s="16"/>
    </row>
    <row r="73" spans="1:4" ht="16" x14ac:dyDescent="0.2">
      <c r="A73" s="15"/>
      <c r="B73" s="15"/>
      <c r="C73" s="16"/>
      <c r="D73" s="16"/>
    </row>
    <row r="74" spans="1:4" ht="16" x14ac:dyDescent="0.2">
      <c r="A74" s="15"/>
      <c r="B74" s="15"/>
      <c r="C74" s="16"/>
      <c r="D74" s="16"/>
    </row>
    <row r="75" spans="1:4" ht="16" x14ac:dyDescent="0.2">
      <c r="A75" s="15"/>
      <c r="B75" s="15"/>
      <c r="C75" s="16"/>
      <c r="D75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T16"/>
  <sheetViews>
    <sheetView topLeftCell="K1" workbookViewId="0">
      <selection activeCell="L15" sqref="L15:T15"/>
    </sheetView>
  </sheetViews>
  <sheetFormatPr baseColWidth="10" defaultRowHeight="15" x14ac:dyDescent="0.2"/>
  <sheetData>
    <row r="1" spans="1:20" x14ac:dyDescent="0.2">
      <c r="A1" s="3" t="s">
        <v>15</v>
      </c>
      <c r="B1" s="3" t="s">
        <v>85</v>
      </c>
      <c r="C1" s="3" t="s">
        <v>84</v>
      </c>
      <c r="D1" s="3">
        <v>1997</v>
      </c>
      <c r="E1" s="3">
        <v>2001</v>
      </c>
      <c r="F1" s="3">
        <v>2005</v>
      </c>
      <c r="G1" s="3">
        <v>2009</v>
      </c>
      <c r="H1" s="3">
        <v>2013</v>
      </c>
      <c r="I1" s="3">
        <v>2017</v>
      </c>
      <c r="J1" s="3">
        <v>2021</v>
      </c>
      <c r="L1" s="3" t="s">
        <v>85</v>
      </c>
      <c r="M1" s="3" t="s">
        <v>84</v>
      </c>
      <c r="N1" s="3">
        <v>1997</v>
      </c>
      <c r="O1" s="3">
        <v>2001</v>
      </c>
      <c r="P1" s="3">
        <v>2005</v>
      </c>
      <c r="Q1" s="3">
        <v>2009</v>
      </c>
      <c r="R1" s="3">
        <v>2013</v>
      </c>
      <c r="S1" s="3">
        <v>2017</v>
      </c>
      <c r="T1" s="3">
        <v>2021</v>
      </c>
    </row>
    <row r="2" spans="1:20" x14ac:dyDescent="0.2">
      <c r="A2" s="8" t="s">
        <v>86</v>
      </c>
      <c r="B2" s="1">
        <v>45.4</v>
      </c>
      <c r="C2" s="1">
        <v>50.1</v>
      </c>
      <c r="D2" s="1">
        <v>49.2</v>
      </c>
      <c r="E2" s="1">
        <v>41.3</v>
      </c>
      <c r="F2" s="1">
        <v>38.200000000000003</v>
      </c>
      <c r="G2" s="1">
        <v>47.6</v>
      </c>
      <c r="H2" s="1">
        <v>33.5</v>
      </c>
      <c r="I2" s="1">
        <v>33.700000000000003</v>
      </c>
      <c r="J2" s="1">
        <v>35.9</v>
      </c>
      <c r="L2" s="1">
        <v>45.4</v>
      </c>
      <c r="M2" s="1">
        <v>50.1</v>
      </c>
      <c r="N2" s="1">
        <f>(D2*0.2)+D2</f>
        <v>59.040000000000006</v>
      </c>
      <c r="O2" s="1">
        <f>(E2*0.4)+E2</f>
        <v>57.819999999999993</v>
      </c>
      <c r="P2" s="1">
        <f>(F2*0.6)+F2</f>
        <v>61.120000000000005</v>
      </c>
      <c r="Q2" s="1">
        <f>(G2*0.8)+G2</f>
        <v>85.68</v>
      </c>
      <c r="R2" s="1">
        <f>(H2*1)+H2</f>
        <v>67</v>
      </c>
      <c r="S2" s="1">
        <f>(I2*1.2)+I2</f>
        <v>74.140000000000015</v>
      </c>
      <c r="T2" s="1">
        <f>(J2*1.4)+J2</f>
        <v>86.16</v>
      </c>
    </row>
    <row r="3" spans="1:20" x14ac:dyDescent="0.2">
      <c r="A3" s="8" t="s">
        <v>87</v>
      </c>
      <c r="B3" s="1">
        <v>44.2</v>
      </c>
      <c r="C3" s="1">
        <v>41.3</v>
      </c>
      <c r="D3" s="1">
        <v>39.200000000000003</v>
      </c>
      <c r="E3" s="1">
        <v>49.9</v>
      </c>
      <c r="F3" s="1">
        <v>48.7</v>
      </c>
      <c r="G3" s="1">
        <v>43.5</v>
      </c>
      <c r="H3" s="1">
        <v>40</v>
      </c>
      <c r="I3" s="1">
        <v>35.200000000000003</v>
      </c>
      <c r="J3" s="1">
        <v>35.9</v>
      </c>
      <c r="L3" s="1">
        <v>44.2</v>
      </c>
      <c r="M3" s="1">
        <v>41.3</v>
      </c>
      <c r="N3" s="1">
        <f t="shared" ref="N3:N5" si="0">(D3*0.2)+D3</f>
        <v>47.040000000000006</v>
      </c>
      <c r="O3" s="1">
        <f t="shared" ref="O3:O5" si="1">(E3*0.4)+E3</f>
        <v>69.86</v>
      </c>
      <c r="P3" s="1">
        <f t="shared" ref="P3:P5" si="2">(F3*0.6)+F3</f>
        <v>77.92</v>
      </c>
      <c r="Q3" s="1">
        <f t="shared" ref="Q3:Q5" si="3">(G3*0.8)+G3</f>
        <v>78.300000000000011</v>
      </c>
      <c r="R3" s="1">
        <f t="shared" ref="R3:R5" si="4">(H3*1)+H3</f>
        <v>80</v>
      </c>
      <c r="S3" s="1">
        <f t="shared" ref="S3:S5" si="5">(I3*1.2)+I3</f>
        <v>77.44</v>
      </c>
      <c r="T3" s="1">
        <f t="shared" ref="T3:T5" si="6">(J3*1.4)+J3</f>
        <v>86.16</v>
      </c>
    </row>
    <row r="4" spans="1:20" ht="16" x14ac:dyDescent="0.2">
      <c r="A4" s="15" t="s">
        <v>363</v>
      </c>
      <c r="B4" s="1"/>
      <c r="C4" s="1"/>
      <c r="D4" s="1"/>
      <c r="E4" s="1"/>
      <c r="F4" s="1"/>
      <c r="G4" s="1"/>
      <c r="H4" s="1">
        <v>15.3</v>
      </c>
      <c r="I4" s="1">
        <v>18.399999999999999</v>
      </c>
      <c r="J4" s="1">
        <v>4.2</v>
      </c>
      <c r="L4" s="1"/>
      <c r="M4" s="1"/>
      <c r="N4" s="1"/>
      <c r="O4" s="1"/>
      <c r="P4" s="1"/>
      <c r="Q4" s="1"/>
      <c r="R4" s="1">
        <v>15.3</v>
      </c>
      <c r="S4" s="1">
        <f>(I4*0.2)+I4</f>
        <v>22.08</v>
      </c>
      <c r="T4" s="1">
        <f>(J4*0.4)+J4</f>
        <v>5.8800000000000008</v>
      </c>
    </row>
    <row r="5" spans="1:20" x14ac:dyDescent="0.2">
      <c r="A5" s="8" t="s">
        <v>88</v>
      </c>
      <c r="B5" s="1">
        <v>10.4</v>
      </c>
      <c r="C5" s="1">
        <v>8.5</v>
      </c>
      <c r="D5" s="1">
        <v>11.6</v>
      </c>
      <c r="E5" s="1">
        <v>8.8000000000000007</v>
      </c>
      <c r="F5" s="1">
        <v>13</v>
      </c>
      <c r="G5" s="1">
        <v>8.9</v>
      </c>
      <c r="H5" s="1">
        <v>11.1</v>
      </c>
      <c r="I5" s="1">
        <v>12.6</v>
      </c>
      <c r="J5" s="1">
        <v>12.9</v>
      </c>
      <c r="L5" s="1">
        <v>10.4</v>
      </c>
      <c r="M5" s="1">
        <v>8.5</v>
      </c>
      <c r="N5" s="1">
        <f t="shared" si="0"/>
        <v>13.92</v>
      </c>
      <c r="O5" s="1">
        <f t="shared" si="1"/>
        <v>12.32</v>
      </c>
      <c r="P5" s="1">
        <f t="shared" si="2"/>
        <v>20.8</v>
      </c>
      <c r="Q5" s="1">
        <f t="shared" si="3"/>
        <v>16.020000000000003</v>
      </c>
      <c r="R5" s="1">
        <f t="shared" si="4"/>
        <v>22.2</v>
      </c>
      <c r="S5" s="1">
        <f t="shared" si="5"/>
        <v>27.72</v>
      </c>
      <c r="T5" s="1">
        <f t="shared" si="6"/>
        <v>30.96</v>
      </c>
    </row>
    <row r="6" spans="1:20" x14ac:dyDescent="0.2">
      <c r="A6" s="8" t="s">
        <v>1458</v>
      </c>
      <c r="B6" s="1"/>
      <c r="C6" s="1"/>
      <c r="D6" s="1"/>
      <c r="E6" s="1"/>
      <c r="F6" s="1"/>
      <c r="G6" s="1"/>
      <c r="H6" s="1"/>
      <c r="I6" s="1"/>
      <c r="J6" s="1">
        <v>11.1</v>
      </c>
      <c r="L6" s="1"/>
      <c r="M6" s="1"/>
      <c r="N6" s="1"/>
      <c r="O6" s="1"/>
      <c r="P6" s="1"/>
      <c r="Q6" s="1"/>
      <c r="R6" s="1"/>
      <c r="S6" s="1"/>
      <c r="T6" s="1">
        <v>11.1</v>
      </c>
    </row>
    <row r="7" spans="1:20" x14ac:dyDescent="0.2">
      <c r="K7" s="3" t="s">
        <v>14</v>
      </c>
      <c r="L7" s="1">
        <f>SUM(L2:L6)</f>
        <v>100</v>
      </c>
      <c r="M7" s="1">
        <f t="shared" ref="M7:T7" si="7">SUM(M2:M6)</f>
        <v>99.9</v>
      </c>
      <c r="N7" s="1">
        <f t="shared" si="7"/>
        <v>120.00000000000001</v>
      </c>
      <c r="O7" s="1">
        <f t="shared" si="7"/>
        <v>140</v>
      </c>
      <c r="P7" s="1">
        <f t="shared" si="7"/>
        <v>159.84000000000003</v>
      </c>
      <c r="Q7" s="1">
        <f t="shared" si="7"/>
        <v>180.00000000000003</v>
      </c>
      <c r="R7" s="1">
        <f t="shared" si="7"/>
        <v>184.5</v>
      </c>
      <c r="S7" s="1">
        <f t="shared" si="7"/>
        <v>201.38000000000002</v>
      </c>
      <c r="T7" s="1">
        <f t="shared" si="7"/>
        <v>220.26</v>
      </c>
    </row>
    <row r="8" spans="1:20" x14ac:dyDescent="0.2">
      <c r="S8" s="1"/>
    </row>
    <row r="9" spans="1:20" x14ac:dyDescent="0.2">
      <c r="L9" s="1">
        <v>100</v>
      </c>
      <c r="M9" s="1">
        <v>100</v>
      </c>
      <c r="N9" s="1">
        <v>120</v>
      </c>
      <c r="O9" s="1">
        <v>140</v>
      </c>
      <c r="P9" s="1">
        <v>160</v>
      </c>
      <c r="Q9" s="1">
        <v>180</v>
      </c>
      <c r="R9" s="1">
        <v>200</v>
      </c>
      <c r="S9" s="1">
        <v>220</v>
      </c>
      <c r="T9" s="1">
        <v>240</v>
      </c>
    </row>
    <row r="11" spans="1:20" x14ac:dyDescent="0.2">
      <c r="L11" s="1">
        <f>L7</f>
        <v>100</v>
      </c>
      <c r="M11" s="1">
        <f>SUM(L11+M7)</f>
        <v>199.9</v>
      </c>
      <c r="N11" s="1">
        <f>SUM(M11+N7)</f>
        <v>319.90000000000003</v>
      </c>
      <c r="O11" s="1">
        <f>SUM(N11+O7)</f>
        <v>459.90000000000003</v>
      </c>
      <c r="P11" s="1">
        <f t="shared" ref="P11:T11" si="8">SUM(O11+P7)</f>
        <v>619.74</v>
      </c>
      <c r="Q11" s="1">
        <f t="shared" si="8"/>
        <v>799.74</v>
      </c>
      <c r="R11" s="1">
        <f t="shared" si="8"/>
        <v>984.24</v>
      </c>
      <c r="S11" s="1">
        <f t="shared" si="8"/>
        <v>1185.6200000000001</v>
      </c>
      <c r="T11" s="1">
        <f t="shared" si="8"/>
        <v>1405.88</v>
      </c>
    </row>
    <row r="12" spans="1:20" x14ac:dyDescent="0.2">
      <c r="L12" s="3"/>
      <c r="M12" s="3"/>
      <c r="N12" s="3"/>
      <c r="P12" s="3"/>
      <c r="Q12" s="3"/>
      <c r="R12" s="5"/>
    </row>
    <row r="13" spans="1:20" x14ac:dyDescent="0.2">
      <c r="L13" s="1">
        <v>100</v>
      </c>
      <c r="M13" s="1">
        <f>SUM(L13+M9)</f>
        <v>200</v>
      </c>
      <c r="N13" s="1">
        <f>SUM(M13+N9)</f>
        <v>320</v>
      </c>
      <c r="O13" s="1">
        <f>SUM(N13+O9)</f>
        <v>460</v>
      </c>
      <c r="P13" s="1">
        <f t="shared" ref="P13:T13" si="9">SUM(O13+P9)</f>
        <v>620</v>
      </c>
      <c r="Q13" s="1">
        <f t="shared" si="9"/>
        <v>800</v>
      </c>
      <c r="R13" s="1">
        <f t="shared" si="9"/>
        <v>1000</v>
      </c>
      <c r="S13" s="1">
        <f t="shared" si="9"/>
        <v>1220</v>
      </c>
      <c r="T13" s="1">
        <f t="shared" si="9"/>
        <v>1460</v>
      </c>
    </row>
    <row r="15" spans="1:20" x14ac:dyDescent="0.2">
      <c r="L15" s="4" t="s">
        <v>1563</v>
      </c>
      <c r="M15" s="4" t="s">
        <v>1563</v>
      </c>
      <c r="N15" s="4" t="s">
        <v>1563</v>
      </c>
      <c r="O15" s="4" t="s">
        <v>1563</v>
      </c>
      <c r="P15" s="4" t="s">
        <v>1563</v>
      </c>
      <c r="Q15" s="4" t="s">
        <v>1563</v>
      </c>
      <c r="R15" s="4" t="s">
        <v>1563</v>
      </c>
      <c r="S15" s="4" t="s">
        <v>1563</v>
      </c>
      <c r="T15" s="4" t="s">
        <v>1563</v>
      </c>
    </row>
    <row r="16" spans="1:20" x14ac:dyDescent="0.2">
      <c r="L16" s="6">
        <f>(L11/L13)*100</f>
        <v>100</v>
      </c>
      <c r="M16" s="6">
        <f>(M11/M13)*100</f>
        <v>99.95</v>
      </c>
      <c r="N16" s="6">
        <f>(N11/N13)*100</f>
        <v>99.96875</v>
      </c>
      <c r="O16" s="6">
        <f>(O11/O13)*100</f>
        <v>99.978260869565233</v>
      </c>
      <c r="P16" s="6">
        <f t="shared" ref="P16:T16" si="10">(P11/P13)*100</f>
        <v>99.958064516129028</v>
      </c>
      <c r="Q16" s="6">
        <f t="shared" si="10"/>
        <v>99.967500000000001</v>
      </c>
      <c r="R16" s="6">
        <f t="shared" si="10"/>
        <v>98.424000000000007</v>
      </c>
      <c r="S16" s="6">
        <f t="shared" si="10"/>
        <v>97.18196721311476</v>
      </c>
      <c r="T16" s="6">
        <f t="shared" si="10"/>
        <v>96.293150684931518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60"/>
  <sheetViews>
    <sheetView topLeftCell="L26" workbookViewId="0">
      <selection activeCell="M37" sqref="M37:U37"/>
    </sheetView>
  </sheetViews>
  <sheetFormatPr baseColWidth="10" defaultRowHeight="15" x14ac:dyDescent="0.2"/>
  <cols>
    <col min="2" max="2" width="42" customWidth="1"/>
  </cols>
  <sheetData>
    <row r="1" spans="1:21" ht="16" x14ac:dyDescent="0.2">
      <c r="A1" s="3" t="s">
        <v>15</v>
      </c>
      <c r="B1" s="24" t="s">
        <v>681</v>
      </c>
      <c r="C1" s="3">
        <v>1992</v>
      </c>
      <c r="D1" s="3">
        <v>1996</v>
      </c>
      <c r="E1" s="3">
        <v>2000</v>
      </c>
      <c r="F1" s="3">
        <v>2004</v>
      </c>
      <c r="G1" s="3">
        <v>2008</v>
      </c>
      <c r="H1" s="3">
        <v>2012</v>
      </c>
      <c r="I1" s="3">
        <v>2016</v>
      </c>
      <c r="J1" s="3">
        <v>2020</v>
      </c>
      <c r="K1" s="3">
        <v>2024</v>
      </c>
      <c r="M1" s="3">
        <v>1992</v>
      </c>
      <c r="N1" s="3">
        <v>1996</v>
      </c>
      <c r="O1" s="3">
        <v>2000</v>
      </c>
      <c r="P1" s="3">
        <v>2004</v>
      </c>
      <c r="Q1" s="3">
        <v>2008</v>
      </c>
      <c r="R1" s="3">
        <v>2012</v>
      </c>
      <c r="S1" s="3">
        <v>2016</v>
      </c>
      <c r="T1" s="3">
        <v>2020</v>
      </c>
      <c r="U1" s="3">
        <v>2024</v>
      </c>
    </row>
    <row r="2" spans="1:21" ht="16" x14ac:dyDescent="0.2">
      <c r="A2" s="8" t="s">
        <v>544</v>
      </c>
      <c r="B2" s="16" t="s">
        <v>978</v>
      </c>
      <c r="C2" s="1">
        <v>43.9</v>
      </c>
      <c r="D2" s="1">
        <v>10</v>
      </c>
      <c r="E2" s="3">
        <v>31.1</v>
      </c>
      <c r="J2" s="16"/>
      <c r="K2" s="16"/>
      <c r="L2" s="16"/>
      <c r="M2" s="1">
        <v>43.9</v>
      </c>
      <c r="N2" s="1">
        <f>(D2*0.2)+D2</f>
        <v>12</v>
      </c>
      <c r="O2" s="1">
        <f t="shared" ref="O2:O13" si="0">(E2*0.4)+E2</f>
        <v>43.540000000000006</v>
      </c>
      <c r="P2" s="1"/>
      <c r="Q2" s="1"/>
      <c r="R2" s="1"/>
    </row>
    <row r="3" spans="1:21" ht="16" x14ac:dyDescent="0.2">
      <c r="A3" s="8" t="s">
        <v>133</v>
      </c>
      <c r="B3" s="16" t="s">
        <v>979</v>
      </c>
      <c r="C3" s="1">
        <v>2.1</v>
      </c>
      <c r="D3" s="1">
        <v>3.1</v>
      </c>
      <c r="E3" s="1">
        <v>2</v>
      </c>
      <c r="F3" s="1">
        <v>3.8</v>
      </c>
      <c r="G3" s="1">
        <v>4.8</v>
      </c>
      <c r="H3" s="1">
        <v>5.8</v>
      </c>
      <c r="I3" s="1">
        <v>5.7</v>
      </c>
      <c r="J3" s="16">
        <v>5</v>
      </c>
      <c r="K3" s="16">
        <v>4</v>
      </c>
      <c r="L3" s="16"/>
      <c r="M3" s="1">
        <v>2.1</v>
      </c>
      <c r="N3" s="1">
        <f t="shared" ref="N3:N13" si="1">(D3*0.2)+D3</f>
        <v>3.72</v>
      </c>
      <c r="O3" s="1">
        <f t="shared" si="0"/>
        <v>2.8</v>
      </c>
      <c r="P3" s="1">
        <f t="shared" ref="P3:P8" si="2">(F3*0.6)+F3</f>
        <v>6.08</v>
      </c>
      <c r="Q3" s="1">
        <f t="shared" ref="Q3:Q6" si="3">(G3*0.8)+G3</f>
        <v>8.64</v>
      </c>
      <c r="R3" s="1">
        <f t="shared" ref="R3:R6" si="4">(H3*1)+H3</f>
        <v>11.6</v>
      </c>
      <c r="S3" s="1">
        <f>(I3*1.2)+I3</f>
        <v>12.54</v>
      </c>
      <c r="T3" s="1">
        <f>(J3*1.4)+J3</f>
        <v>12</v>
      </c>
      <c r="U3" s="1">
        <f>(K3*1.6)+K3</f>
        <v>10.4</v>
      </c>
    </row>
    <row r="4" spans="1:21" ht="16" x14ac:dyDescent="0.2">
      <c r="A4" s="8" t="s">
        <v>135</v>
      </c>
      <c r="B4" s="16" t="s">
        <v>980</v>
      </c>
      <c r="C4" s="1">
        <v>2.5</v>
      </c>
      <c r="D4" s="1">
        <v>8.6999999999999993</v>
      </c>
      <c r="E4" s="1">
        <v>2.9</v>
      </c>
      <c r="J4" s="16"/>
      <c r="K4" s="16"/>
      <c r="L4" s="16"/>
      <c r="M4" s="1">
        <v>2.5</v>
      </c>
      <c r="N4" s="1">
        <f t="shared" si="1"/>
        <v>10.44</v>
      </c>
      <c r="O4" s="1">
        <f t="shared" si="0"/>
        <v>4.0599999999999996</v>
      </c>
      <c r="P4" s="1"/>
      <c r="Q4" s="1"/>
      <c r="R4" s="1"/>
      <c r="U4" s="1"/>
    </row>
    <row r="5" spans="1:21" ht="16" x14ac:dyDescent="0.2">
      <c r="A5" s="8" t="s">
        <v>547</v>
      </c>
      <c r="B5" s="16" t="s">
        <v>981</v>
      </c>
      <c r="C5" s="1"/>
      <c r="D5" s="1"/>
      <c r="E5" s="1"/>
      <c r="F5" s="1">
        <v>9.1999999999999993</v>
      </c>
      <c r="G5" s="1">
        <v>5.3</v>
      </c>
      <c r="H5" s="1">
        <v>2.1</v>
      </c>
      <c r="I5" s="1"/>
      <c r="J5" s="16"/>
      <c r="K5" s="16"/>
      <c r="L5" s="16"/>
      <c r="M5" s="1"/>
      <c r="N5" s="1"/>
      <c r="O5" s="1"/>
      <c r="P5" s="1">
        <v>9.1999999999999993</v>
      </c>
      <c r="Q5" s="1">
        <f>(G5*0.2)+G5</f>
        <v>6.3599999999999994</v>
      </c>
      <c r="R5" s="1">
        <f>(H5*0.4)+H5</f>
        <v>2.9400000000000004</v>
      </c>
      <c r="U5" s="1"/>
    </row>
    <row r="6" spans="1:21" ht="16" x14ac:dyDescent="0.2">
      <c r="A6" s="8" t="s">
        <v>137</v>
      </c>
      <c r="B6" s="16" t="s">
        <v>982</v>
      </c>
      <c r="D6" s="1">
        <v>4</v>
      </c>
      <c r="E6" s="1">
        <v>1.2</v>
      </c>
      <c r="F6" s="1"/>
      <c r="G6" s="1">
        <v>1.8</v>
      </c>
      <c r="H6" s="1">
        <v>0.6</v>
      </c>
      <c r="I6" s="1">
        <v>0.6</v>
      </c>
      <c r="J6" s="16"/>
      <c r="K6" s="16"/>
      <c r="L6" s="16"/>
      <c r="M6" s="1"/>
      <c r="N6" s="1">
        <f t="shared" si="1"/>
        <v>4.8</v>
      </c>
      <c r="O6" s="1">
        <f t="shared" si="0"/>
        <v>1.68</v>
      </c>
      <c r="P6" s="1"/>
      <c r="Q6" s="1">
        <f t="shared" si="3"/>
        <v>3.24</v>
      </c>
      <c r="R6" s="1">
        <f t="shared" si="4"/>
        <v>1.2</v>
      </c>
      <c r="S6" s="1">
        <f>(I6*1.2)+I6</f>
        <v>1.3199999999999998</v>
      </c>
      <c r="T6" s="1"/>
      <c r="U6" s="1"/>
    </row>
    <row r="7" spans="1:21" ht="16" x14ac:dyDescent="0.2">
      <c r="A7" s="8" t="s">
        <v>543</v>
      </c>
      <c r="B7" s="16" t="s">
        <v>983</v>
      </c>
      <c r="D7" s="1"/>
      <c r="E7" s="1"/>
      <c r="F7" s="1"/>
      <c r="G7" s="1">
        <v>15.1</v>
      </c>
      <c r="H7" s="1"/>
      <c r="I7" s="1"/>
      <c r="J7" s="16"/>
      <c r="K7" s="16"/>
      <c r="L7" s="16"/>
      <c r="M7" s="1"/>
      <c r="N7" s="1"/>
      <c r="O7" s="1"/>
      <c r="P7" s="1"/>
      <c r="Q7" s="1">
        <v>15.1</v>
      </c>
      <c r="R7" s="1"/>
      <c r="U7" s="1"/>
    </row>
    <row r="8" spans="1:21" ht="16" x14ac:dyDescent="0.2">
      <c r="A8" s="15" t="s">
        <v>977</v>
      </c>
      <c r="B8" s="16" t="s">
        <v>984</v>
      </c>
      <c r="C8" s="1">
        <v>12.6</v>
      </c>
      <c r="D8" s="1">
        <v>10.4</v>
      </c>
      <c r="E8" s="1">
        <v>3.1</v>
      </c>
      <c r="F8" s="1">
        <v>1.4</v>
      </c>
      <c r="G8" s="1"/>
      <c r="H8" s="1"/>
      <c r="I8" s="1"/>
      <c r="J8" s="16"/>
      <c r="K8" s="16"/>
      <c r="L8" s="16"/>
      <c r="M8" s="1">
        <v>12.6</v>
      </c>
      <c r="N8" s="1">
        <f t="shared" si="1"/>
        <v>12.48</v>
      </c>
      <c r="O8" s="1">
        <f t="shared" si="0"/>
        <v>4.34</v>
      </c>
      <c r="P8" s="1">
        <f t="shared" si="2"/>
        <v>2.2399999999999998</v>
      </c>
      <c r="Q8" s="1"/>
      <c r="R8" s="1"/>
      <c r="U8" s="1"/>
    </row>
    <row r="9" spans="1:21" ht="16" x14ac:dyDescent="0.2">
      <c r="A9" s="8" t="s">
        <v>136</v>
      </c>
      <c r="B9" s="16" t="s">
        <v>985</v>
      </c>
      <c r="C9" s="1">
        <v>1.5</v>
      </c>
      <c r="D9" s="1">
        <v>1.9</v>
      </c>
      <c r="E9" s="1">
        <v>17.3</v>
      </c>
      <c r="F9" s="1"/>
      <c r="G9" s="1"/>
      <c r="H9" s="1"/>
      <c r="I9" s="1"/>
      <c r="J9" s="16"/>
      <c r="K9" s="16"/>
      <c r="L9" s="16"/>
      <c r="M9" s="1">
        <v>1.5</v>
      </c>
      <c r="N9" s="1">
        <f t="shared" si="1"/>
        <v>2.2799999999999998</v>
      </c>
      <c r="O9" s="1">
        <f t="shared" si="0"/>
        <v>24.220000000000002</v>
      </c>
      <c r="P9" s="1"/>
      <c r="Q9" s="1"/>
      <c r="R9" s="1"/>
      <c r="U9" s="1"/>
    </row>
    <row r="10" spans="1:21" ht="16" x14ac:dyDescent="0.2">
      <c r="A10" s="21" t="s">
        <v>545</v>
      </c>
      <c r="B10" s="16" t="s">
        <v>986</v>
      </c>
      <c r="C10" s="1">
        <v>6.1</v>
      </c>
      <c r="D10" s="1">
        <v>6.9</v>
      </c>
      <c r="E10" s="1"/>
      <c r="F10" s="1"/>
      <c r="G10" s="1"/>
      <c r="H10" s="1"/>
      <c r="I10" s="1"/>
      <c r="J10" s="16"/>
      <c r="K10" s="16"/>
      <c r="L10" s="16"/>
      <c r="M10" s="1">
        <v>6.1</v>
      </c>
      <c r="N10" s="1">
        <f t="shared" si="1"/>
        <v>8.2800000000000011</v>
      </c>
      <c r="O10" s="1"/>
      <c r="P10" s="1"/>
      <c r="Q10" s="1"/>
      <c r="R10" s="1"/>
      <c r="U10" s="1"/>
    </row>
    <row r="11" spans="1:21" ht="16" x14ac:dyDescent="0.2">
      <c r="A11" s="21" t="s">
        <v>131</v>
      </c>
      <c r="B11" s="16" t="s">
        <v>987</v>
      </c>
      <c r="C11" s="1"/>
      <c r="D11" s="1"/>
      <c r="F11" s="1">
        <v>20.7</v>
      </c>
      <c r="G11" s="1">
        <v>11.7</v>
      </c>
      <c r="H11" s="1">
        <v>18.399999999999999</v>
      </c>
      <c r="I11" s="1">
        <v>15</v>
      </c>
      <c r="J11" s="16">
        <v>9.6</v>
      </c>
      <c r="K11" s="16">
        <v>19.7</v>
      </c>
      <c r="L11" s="16"/>
      <c r="M11" s="1"/>
      <c r="N11" s="1"/>
      <c r="O11" s="1"/>
      <c r="P11" s="1">
        <v>20.7</v>
      </c>
      <c r="Q11" s="1">
        <f>(G11*0.2)+G11</f>
        <v>14.04</v>
      </c>
      <c r="R11" s="1">
        <f>(H11*0.4)+H11</f>
        <v>25.759999999999998</v>
      </c>
      <c r="S11" s="1">
        <f>(I11*0.6)+I11</f>
        <v>24</v>
      </c>
      <c r="T11" s="1">
        <f>(J11*0.8)+J11</f>
        <v>17.28</v>
      </c>
      <c r="U11" s="1">
        <f>(K11*1)+K11</f>
        <v>39.4</v>
      </c>
    </row>
    <row r="12" spans="1:21" ht="16" x14ac:dyDescent="0.2">
      <c r="A12" s="21" t="s">
        <v>333</v>
      </c>
      <c r="B12" s="16" t="s">
        <v>988</v>
      </c>
      <c r="C12" s="1">
        <v>21.2</v>
      </c>
      <c r="D12" s="1"/>
      <c r="E12" s="1"/>
      <c r="F12" s="1"/>
      <c r="G12" s="1"/>
      <c r="H12" s="1"/>
      <c r="I12" s="1"/>
      <c r="J12" s="16"/>
      <c r="K12" s="16"/>
      <c r="L12" s="16"/>
      <c r="M12" s="1">
        <v>21.2</v>
      </c>
      <c r="N12" s="1"/>
      <c r="O12" s="1"/>
      <c r="P12" s="1"/>
      <c r="Q12" s="1"/>
      <c r="R12" s="1"/>
    </row>
    <row r="13" spans="1:21" ht="16" x14ac:dyDescent="0.2">
      <c r="A13" s="8" t="s">
        <v>139</v>
      </c>
      <c r="B13" s="16" t="s">
        <v>989</v>
      </c>
      <c r="C13" s="1">
        <v>3.6</v>
      </c>
      <c r="D13" s="1">
        <v>3.2</v>
      </c>
      <c r="E13" s="1">
        <v>4.2</v>
      </c>
      <c r="F13" s="1"/>
      <c r="G13" s="1"/>
      <c r="H13" s="1"/>
      <c r="I13" s="1"/>
      <c r="J13" s="16"/>
      <c r="K13" s="16"/>
      <c r="L13" s="16"/>
      <c r="M13" s="1">
        <v>3.6</v>
      </c>
      <c r="N13" s="1">
        <f t="shared" si="1"/>
        <v>3.8400000000000003</v>
      </c>
      <c r="O13" s="1">
        <f t="shared" si="0"/>
        <v>5.8800000000000008</v>
      </c>
      <c r="P13" s="1"/>
      <c r="Q13" s="1"/>
      <c r="R13" s="1"/>
    </row>
    <row r="14" spans="1:21" ht="16" x14ac:dyDescent="0.2">
      <c r="A14" s="8" t="s">
        <v>1542</v>
      </c>
      <c r="B14" s="16" t="s">
        <v>1544</v>
      </c>
      <c r="C14" s="1"/>
      <c r="D14" s="1"/>
      <c r="E14" s="1"/>
      <c r="F14" s="1"/>
      <c r="G14" s="1"/>
      <c r="H14" s="1"/>
      <c r="I14" s="1"/>
      <c r="J14" s="16"/>
      <c r="K14" s="16">
        <v>15.3</v>
      </c>
      <c r="L14" s="16"/>
      <c r="M14" s="1"/>
      <c r="N14" s="1"/>
      <c r="O14" s="1"/>
      <c r="P14" s="1"/>
      <c r="Q14" s="1"/>
      <c r="R14" s="1"/>
      <c r="U14" s="16">
        <v>15.3</v>
      </c>
    </row>
    <row r="15" spans="1:21" ht="16" x14ac:dyDescent="0.2">
      <c r="A15" s="8" t="s">
        <v>1543</v>
      </c>
      <c r="B15" s="16" t="s">
        <v>1545</v>
      </c>
      <c r="C15" s="1"/>
      <c r="D15" s="1"/>
      <c r="E15" s="1"/>
      <c r="F15" s="1"/>
      <c r="G15" s="1"/>
      <c r="H15" s="1"/>
      <c r="I15" s="1"/>
      <c r="J15" s="16"/>
      <c r="K15" s="16">
        <v>9.4</v>
      </c>
      <c r="L15" s="16"/>
      <c r="M15" s="1"/>
      <c r="N15" s="1"/>
      <c r="O15" s="1"/>
      <c r="P15" s="1"/>
      <c r="Q15" s="1"/>
      <c r="R15" s="1"/>
      <c r="U15" s="16">
        <v>9.4</v>
      </c>
    </row>
    <row r="16" spans="1:21" ht="16" x14ac:dyDescent="0.2">
      <c r="A16" s="8" t="s">
        <v>446</v>
      </c>
      <c r="B16" s="16" t="s">
        <v>1435</v>
      </c>
      <c r="C16" s="1"/>
      <c r="D16" s="1"/>
      <c r="E16" s="1"/>
      <c r="F16" s="1"/>
      <c r="G16" s="1"/>
      <c r="H16" s="1"/>
      <c r="I16" s="1"/>
      <c r="J16" s="16">
        <v>9.5</v>
      </c>
      <c r="K16" s="16">
        <v>4.5999999999999996</v>
      </c>
      <c r="L16" s="16"/>
      <c r="M16" s="1"/>
      <c r="N16" s="1"/>
      <c r="O16" s="1"/>
      <c r="P16" s="1"/>
      <c r="Q16" s="1"/>
      <c r="R16" s="1"/>
      <c r="T16" s="16">
        <v>9.5</v>
      </c>
      <c r="U16" s="1">
        <f>(K16*0.2)+K16</f>
        <v>5.52</v>
      </c>
    </row>
    <row r="17" spans="1:21" ht="16" x14ac:dyDescent="0.2">
      <c r="A17" s="8" t="s">
        <v>1437</v>
      </c>
      <c r="B17" s="16" t="s">
        <v>1436</v>
      </c>
      <c r="C17" s="1"/>
      <c r="D17" s="1"/>
      <c r="E17" s="1"/>
      <c r="F17" s="1"/>
      <c r="G17" s="1"/>
      <c r="H17" s="1"/>
      <c r="I17" s="1"/>
      <c r="J17" s="16">
        <v>3.3</v>
      </c>
      <c r="K17" s="16">
        <v>1.9</v>
      </c>
      <c r="L17" s="16"/>
      <c r="M17" s="1"/>
      <c r="N17" s="1"/>
      <c r="O17" s="1"/>
      <c r="P17" s="1"/>
      <c r="Q17" s="1"/>
      <c r="R17" s="1"/>
      <c r="T17" s="16">
        <v>3.3</v>
      </c>
      <c r="U17" s="1">
        <f>(K17*0.2)+K17</f>
        <v>2.2799999999999998</v>
      </c>
    </row>
    <row r="18" spans="1:21" ht="16" x14ac:dyDescent="0.2">
      <c r="A18" s="21" t="s">
        <v>546</v>
      </c>
      <c r="B18" s="16" t="s">
        <v>990</v>
      </c>
      <c r="C18" s="1"/>
      <c r="D18" s="1"/>
      <c r="E18" s="1"/>
      <c r="F18" s="1"/>
      <c r="G18" s="1"/>
      <c r="H18" s="1">
        <v>8</v>
      </c>
      <c r="I18" s="1">
        <v>0.3</v>
      </c>
      <c r="J18" s="16">
        <v>1.2</v>
      </c>
      <c r="K18" s="16"/>
      <c r="L18" s="16"/>
      <c r="M18" s="1"/>
      <c r="N18" s="1"/>
      <c r="O18" s="1"/>
      <c r="P18" s="1"/>
      <c r="Q18" s="1"/>
      <c r="R18" s="1">
        <v>8</v>
      </c>
      <c r="S18" s="1">
        <f>(I18*0.2)+I18</f>
        <v>0.36</v>
      </c>
      <c r="T18" s="1">
        <f>(J18*0.4)+J18</f>
        <v>1.68</v>
      </c>
      <c r="U18" s="1"/>
    </row>
    <row r="19" spans="1:21" ht="16" x14ac:dyDescent="0.2">
      <c r="A19" s="21" t="s">
        <v>542</v>
      </c>
      <c r="B19" s="16" t="s">
        <v>991</v>
      </c>
      <c r="C19" s="1"/>
      <c r="D19" s="1">
        <v>31.3</v>
      </c>
      <c r="E19" s="1">
        <v>8.6</v>
      </c>
      <c r="F19" s="1">
        <v>14.8</v>
      </c>
      <c r="G19" s="1">
        <v>19.7</v>
      </c>
      <c r="H19" s="1">
        <v>15.1</v>
      </c>
      <c r="I19" s="1">
        <v>22.6</v>
      </c>
      <c r="J19" s="16">
        <v>25.8</v>
      </c>
      <c r="K19" s="16">
        <v>18.399999999999999</v>
      </c>
      <c r="L19" s="16"/>
      <c r="M19" s="1"/>
      <c r="N19" s="1">
        <v>31.3</v>
      </c>
      <c r="O19" s="1">
        <f>(E19*0.2)+E19</f>
        <v>10.32</v>
      </c>
      <c r="P19" s="1">
        <f>(F19*0.4)+F19</f>
        <v>20.720000000000002</v>
      </c>
      <c r="Q19" s="1">
        <f>(G19*0.6)+G19</f>
        <v>31.519999999999996</v>
      </c>
      <c r="R19" s="1">
        <f>(H19*0.8)+H19</f>
        <v>27.18</v>
      </c>
      <c r="S19" s="1">
        <f>(I19*1)+I19</f>
        <v>45.2</v>
      </c>
      <c r="T19" s="1">
        <f>(J19*1.2)+J19</f>
        <v>56.760000000000005</v>
      </c>
      <c r="U19" s="1">
        <f>(K19*1.4)+K19</f>
        <v>44.16</v>
      </c>
    </row>
    <row r="20" spans="1:21" ht="16" x14ac:dyDescent="0.2">
      <c r="A20" s="21" t="s">
        <v>176</v>
      </c>
      <c r="B20" s="16" t="s">
        <v>992</v>
      </c>
      <c r="C20" s="1"/>
      <c r="D20" s="1">
        <v>1.8</v>
      </c>
      <c r="E20" s="1">
        <v>4.0999999999999996</v>
      </c>
      <c r="F20" s="1"/>
      <c r="G20" s="1"/>
      <c r="H20" s="1"/>
      <c r="I20" s="1"/>
      <c r="J20" s="16"/>
      <c r="K20" s="16"/>
      <c r="L20" s="16"/>
      <c r="M20" s="1"/>
      <c r="N20" s="1">
        <v>1.8</v>
      </c>
      <c r="O20" s="1">
        <f>(E20*0.2)+E20</f>
        <v>4.92</v>
      </c>
      <c r="P20" s="1"/>
      <c r="Q20" s="1"/>
      <c r="R20" s="1"/>
      <c r="U20" s="1"/>
    </row>
    <row r="21" spans="1:21" ht="16" x14ac:dyDescent="0.2">
      <c r="A21" s="8" t="s">
        <v>134</v>
      </c>
      <c r="B21" s="16" t="s">
        <v>993</v>
      </c>
      <c r="C21" s="1"/>
      <c r="F21" s="1">
        <v>6.6</v>
      </c>
      <c r="G21" s="1">
        <v>3.7</v>
      </c>
      <c r="H21" s="1">
        <v>3.9</v>
      </c>
      <c r="I21" s="1">
        <v>22.5</v>
      </c>
      <c r="J21" s="16">
        <v>18.100000000000001</v>
      </c>
      <c r="K21" s="16">
        <v>7.2</v>
      </c>
      <c r="L21" s="16"/>
      <c r="M21" s="1"/>
      <c r="N21" s="1"/>
      <c r="O21" s="1"/>
      <c r="P21" s="1">
        <v>6.6</v>
      </c>
      <c r="Q21" s="1">
        <f>(G21*0.2)+G21</f>
        <v>4.4400000000000004</v>
      </c>
      <c r="R21" s="1">
        <f>(H21*0.4)+H21</f>
        <v>5.46</v>
      </c>
      <c r="S21" s="1">
        <f>(I21*0.6)+I21</f>
        <v>36</v>
      </c>
      <c r="T21" s="1">
        <f>(J21*0.8)+J21</f>
        <v>32.580000000000005</v>
      </c>
      <c r="U21" s="1">
        <f>(K21*1)+K21</f>
        <v>14.4</v>
      </c>
    </row>
    <row r="22" spans="1:21" ht="16" x14ac:dyDescent="0.2">
      <c r="A22" s="8" t="s">
        <v>138</v>
      </c>
      <c r="B22" s="16" t="s">
        <v>672</v>
      </c>
      <c r="C22" s="1"/>
      <c r="D22" s="1">
        <v>3.9</v>
      </c>
      <c r="E22" s="1"/>
      <c r="F22" s="1"/>
      <c r="G22" s="1"/>
      <c r="H22" s="1"/>
      <c r="I22" s="1"/>
      <c r="J22" s="16"/>
      <c r="K22" s="16"/>
      <c r="L22" s="16"/>
      <c r="M22" s="1"/>
      <c r="N22" s="1">
        <v>3.9</v>
      </c>
      <c r="O22" s="1"/>
      <c r="P22" s="1"/>
      <c r="Q22" s="1"/>
      <c r="R22" s="1"/>
      <c r="U22" s="1"/>
    </row>
    <row r="23" spans="1:21" ht="16" x14ac:dyDescent="0.2">
      <c r="A23" s="8" t="s">
        <v>548</v>
      </c>
      <c r="B23" s="16" t="s">
        <v>994</v>
      </c>
      <c r="C23" s="1"/>
      <c r="D23" s="1"/>
      <c r="E23" s="1">
        <v>19.600000000000001</v>
      </c>
      <c r="F23" s="1"/>
      <c r="G23" s="1">
        <v>3.6</v>
      </c>
      <c r="H23" s="1"/>
      <c r="I23" s="1"/>
      <c r="J23" s="16"/>
      <c r="K23" s="16"/>
      <c r="L23" s="16"/>
      <c r="M23" s="1"/>
      <c r="N23" s="1"/>
      <c r="O23" s="1">
        <v>19.600000000000001</v>
      </c>
      <c r="P23" s="1"/>
      <c r="Q23" s="1">
        <f>(G23*0.4)+G23</f>
        <v>5.04</v>
      </c>
      <c r="R23" s="1"/>
      <c r="U23" s="1"/>
    </row>
    <row r="24" spans="1:21" ht="16" x14ac:dyDescent="0.2">
      <c r="A24" s="8" t="s">
        <v>104</v>
      </c>
      <c r="B24" s="16" t="s">
        <v>697</v>
      </c>
      <c r="C24" s="1"/>
      <c r="D24" s="1"/>
      <c r="E24" s="1"/>
      <c r="F24" s="1">
        <v>28.4</v>
      </c>
      <c r="G24" s="1">
        <v>9</v>
      </c>
      <c r="H24" s="1">
        <v>19.8</v>
      </c>
      <c r="I24" s="1">
        <v>4.9000000000000004</v>
      </c>
      <c r="J24" s="16">
        <v>9.8000000000000007</v>
      </c>
      <c r="K24" s="16">
        <v>2.2000000000000002</v>
      </c>
      <c r="L24" s="16"/>
      <c r="M24" s="1"/>
      <c r="N24" s="1"/>
      <c r="O24" s="1"/>
      <c r="P24" s="1">
        <v>28.4</v>
      </c>
      <c r="Q24" s="1">
        <f>(G24*0.2)+G24</f>
        <v>10.8</v>
      </c>
      <c r="R24" s="1">
        <f>(H24*0.4)+H24</f>
        <v>27.720000000000002</v>
      </c>
      <c r="S24" s="1">
        <f>(I24*0.6)+I24</f>
        <v>7.84</v>
      </c>
      <c r="T24" s="1">
        <f>(J24*0.8)+J24</f>
        <v>17.64</v>
      </c>
      <c r="U24" s="1">
        <f t="shared" ref="U24:U27" si="5">(K24*1)+K24</f>
        <v>4.4000000000000004</v>
      </c>
    </row>
    <row r="25" spans="1:21" ht="16" x14ac:dyDescent="0.2">
      <c r="A25" s="8" t="s">
        <v>132</v>
      </c>
      <c r="B25" s="16" t="s">
        <v>995</v>
      </c>
      <c r="C25" s="1"/>
      <c r="D25" s="1"/>
      <c r="E25" s="1"/>
      <c r="F25" s="1">
        <v>11.3</v>
      </c>
      <c r="G25" s="1">
        <v>12.7</v>
      </c>
      <c r="H25" s="1">
        <v>7.3</v>
      </c>
      <c r="I25" s="1">
        <v>5.6</v>
      </c>
      <c r="J25" s="16"/>
      <c r="K25" s="16"/>
      <c r="L25" s="16"/>
      <c r="M25" s="1"/>
      <c r="N25" s="1"/>
      <c r="O25" s="1"/>
      <c r="P25" s="1">
        <v>11.3</v>
      </c>
      <c r="Q25" s="1">
        <f>(G25*0.2)+G25</f>
        <v>15.239999999999998</v>
      </c>
      <c r="R25" s="1">
        <f>(H25*0.4)+H25</f>
        <v>10.219999999999999</v>
      </c>
      <c r="S25" s="1">
        <f>(I25*0.6)+I25</f>
        <v>8.9599999999999991</v>
      </c>
      <c r="U25" s="1"/>
    </row>
    <row r="26" spans="1:21" ht="16" x14ac:dyDescent="0.2">
      <c r="A26" s="8" t="s">
        <v>549</v>
      </c>
      <c r="B26" s="16" t="s">
        <v>996</v>
      </c>
      <c r="C26" s="1"/>
      <c r="D26" s="1"/>
      <c r="E26" s="1"/>
      <c r="F26" s="1"/>
      <c r="G26" s="1">
        <v>3.2</v>
      </c>
      <c r="H26" s="1"/>
      <c r="I26" s="1"/>
      <c r="J26" s="16"/>
      <c r="K26" s="16"/>
      <c r="L26" s="16"/>
      <c r="M26" s="1"/>
      <c r="N26" s="1"/>
      <c r="O26" s="1"/>
      <c r="P26" s="1"/>
      <c r="Q26" s="1">
        <v>3.2</v>
      </c>
      <c r="R26" s="1"/>
      <c r="U26" s="1"/>
    </row>
    <row r="27" spans="1:21" ht="16" x14ac:dyDescent="0.2">
      <c r="A27" s="8" t="s">
        <v>1323</v>
      </c>
      <c r="B27" s="16" t="s">
        <v>1434</v>
      </c>
      <c r="C27" s="1"/>
      <c r="D27" s="1"/>
      <c r="E27" s="1"/>
      <c r="F27" s="1">
        <v>0.5</v>
      </c>
      <c r="G27" s="1">
        <v>0.7</v>
      </c>
      <c r="H27" s="1">
        <v>1</v>
      </c>
      <c r="I27" s="1">
        <v>6.3</v>
      </c>
      <c r="J27" s="16">
        <v>2.4</v>
      </c>
      <c r="K27" s="16">
        <v>1.4</v>
      </c>
      <c r="L27" s="16"/>
      <c r="M27" s="1"/>
      <c r="N27" s="1"/>
      <c r="O27" s="1"/>
      <c r="P27" s="1">
        <v>0.5</v>
      </c>
      <c r="Q27" s="1">
        <f>(G27*0.2)+G27</f>
        <v>0.84</v>
      </c>
      <c r="R27" s="1">
        <f t="shared" ref="R27" si="6">(H27*0.4)+H27</f>
        <v>1.4</v>
      </c>
      <c r="S27" s="1">
        <f>(I27*0.6)+I27</f>
        <v>10.08</v>
      </c>
      <c r="T27" s="1">
        <f>(J27*0.8)+J27</f>
        <v>4.32</v>
      </c>
      <c r="U27" s="1">
        <f t="shared" si="5"/>
        <v>2.8</v>
      </c>
    </row>
    <row r="28" spans="1:21" ht="16" x14ac:dyDescent="0.2">
      <c r="A28" s="8" t="s">
        <v>550</v>
      </c>
      <c r="B28" s="16" t="s">
        <v>997</v>
      </c>
      <c r="C28" s="1"/>
      <c r="D28" s="1"/>
      <c r="E28" s="1"/>
      <c r="F28" s="1"/>
      <c r="G28" s="1">
        <v>5.7</v>
      </c>
      <c r="H28" s="1">
        <v>8.6</v>
      </c>
      <c r="I28" s="1">
        <v>9.5</v>
      </c>
      <c r="J28" s="16">
        <v>7</v>
      </c>
      <c r="K28" s="16">
        <v>7.9</v>
      </c>
      <c r="L28" s="16"/>
      <c r="M28" s="1"/>
      <c r="N28" s="1"/>
      <c r="O28" s="1"/>
      <c r="P28" s="1"/>
      <c r="Q28" s="1">
        <v>5.7</v>
      </c>
      <c r="R28" s="1">
        <f>(H28*0.2)+H28</f>
        <v>10.32</v>
      </c>
      <c r="S28" s="1">
        <f>(I28*0.4)+I28</f>
        <v>13.3</v>
      </c>
      <c r="T28" s="1">
        <f>(J28*0.6)+J28</f>
        <v>11.2</v>
      </c>
      <c r="U28" s="1">
        <f>(K28*0.8)+K28</f>
        <v>14.22</v>
      </c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L29" s="3" t="s">
        <v>14</v>
      </c>
      <c r="M29" s="1">
        <f t="shared" ref="M29:U29" si="7">SUM(M2:M28)</f>
        <v>93.5</v>
      </c>
      <c r="N29" s="1">
        <f t="shared" si="7"/>
        <v>94.84</v>
      </c>
      <c r="O29" s="1">
        <f t="shared" si="7"/>
        <v>121.36000000000001</v>
      </c>
      <c r="P29" s="1">
        <f t="shared" si="7"/>
        <v>105.74</v>
      </c>
      <c r="Q29" s="1">
        <f t="shared" si="7"/>
        <v>124.16000000000001</v>
      </c>
      <c r="R29" s="1">
        <f t="shared" si="7"/>
        <v>131.80000000000001</v>
      </c>
      <c r="S29" s="1">
        <f t="shared" si="7"/>
        <v>159.60000000000002</v>
      </c>
      <c r="T29" s="1">
        <f t="shared" si="7"/>
        <v>166.26</v>
      </c>
      <c r="U29" s="1">
        <f t="shared" si="7"/>
        <v>162.28</v>
      </c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21" x14ac:dyDescent="0.2">
      <c r="F31" s="1"/>
      <c r="G31" s="1"/>
      <c r="H31" s="1"/>
      <c r="I31" s="1"/>
      <c r="M31" s="1">
        <v>100</v>
      </c>
      <c r="N31" s="1">
        <v>120</v>
      </c>
      <c r="O31" s="1">
        <v>140</v>
      </c>
      <c r="P31" s="1">
        <v>160</v>
      </c>
      <c r="Q31" s="1">
        <v>180</v>
      </c>
      <c r="R31" s="1">
        <v>200</v>
      </c>
      <c r="S31" s="1">
        <v>220</v>
      </c>
      <c r="T31" s="1">
        <v>240</v>
      </c>
      <c r="U31" s="1">
        <v>260</v>
      </c>
    </row>
    <row r="32" spans="1:21" x14ac:dyDescent="0.2">
      <c r="F32" s="1"/>
      <c r="G32" s="1"/>
      <c r="H32" s="1"/>
      <c r="I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M33" s="1">
        <f>M29</f>
        <v>93.5</v>
      </c>
      <c r="N33" s="1">
        <f>SUM(M33+N29)</f>
        <v>188.34</v>
      </c>
      <c r="O33" s="1">
        <f>SUM(N33+O29)</f>
        <v>309.70000000000005</v>
      </c>
      <c r="P33" s="1">
        <f>SUM(O33+P29)</f>
        <v>415.44000000000005</v>
      </c>
      <c r="Q33" s="1">
        <f t="shared" ref="Q33:U33" si="8">SUM(P33+Q29)</f>
        <v>539.6</v>
      </c>
      <c r="R33" s="1">
        <f t="shared" si="8"/>
        <v>671.40000000000009</v>
      </c>
      <c r="S33" s="1">
        <f t="shared" si="8"/>
        <v>831.00000000000011</v>
      </c>
      <c r="T33" s="1">
        <f t="shared" si="8"/>
        <v>997.2600000000001</v>
      </c>
      <c r="U33" s="1">
        <f t="shared" si="8"/>
        <v>1159.5400000000002</v>
      </c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M34" s="3"/>
      <c r="N34" s="3"/>
      <c r="O34" s="3"/>
      <c r="Q34" s="3"/>
      <c r="R34" s="3"/>
      <c r="S34" s="5"/>
    </row>
    <row r="35" spans="1:21" x14ac:dyDescent="0.2">
      <c r="M35" s="1">
        <v>100</v>
      </c>
      <c r="N35" s="1">
        <f>SUM(M35+N31)</f>
        <v>220</v>
      </c>
      <c r="O35" s="1">
        <f>SUM(N35+O31)</f>
        <v>360</v>
      </c>
      <c r="P35" s="1">
        <f>SUM(O35+P31)</f>
        <v>520</v>
      </c>
      <c r="Q35" s="1">
        <f t="shared" ref="Q35:U35" si="9">SUM(P35+Q31)</f>
        <v>700</v>
      </c>
      <c r="R35" s="1">
        <f t="shared" si="9"/>
        <v>900</v>
      </c>
      <c r="S35" s="1">
        <f t="shared" si="9"/>
        <v>1120</v>
      </c>
      <c r="T35" s="1">
        <f t="shared" si="9"/>
        <v>1360</v>
      </c>
      <c r="U35" s="1">
        <f t="shared" si="9"/>
        <v>1620</v>
      </c>
    </row>
    <row r="37" spans="1:21" x14ac:dyDescent="0.2">
      <c r="M37" s="4" t="s">
        <v>1563</v>
      </c>
      <c r="N37" s="4" t="s">
        <v>1563</v>
      </c>
      <c r="O37" s="4" t="s">
        <v>1563</v>
      </c>
      <c r="P37" s="4" t="s">
        <v>1563</v>
      </c>
      <c r="Q37" s="4" t="s">
        <v>1563</v>
      </c>
      <c r="R37" s="4" t="s">
        <v>1563</v>
      </c>
      <c r="S37" s="4" t="s">
        <v>1563</v>
      </c>
      <c r="T37" s="4" t="s">
        <v>1563</v>
      </c>
      <c r="U37" s="4" t="s">
        <v>1563</v>
      </c>
    </row>
    <row r="38" spans="1:21" x14ac:dyDescent="0.2">
      <c r="M38" s="6">
        <f>(M33/M35)*100</f>
        <v>93.5</v>
      </c>
      <c r="N38" s="6">
        <f>(N33/N35)*100</f>
        <v>85.609090909090909</v>
      </c>
      <c r="O38" s="6">
        <f>(O33/O35)*100</f>
        <v>86.027777777777786</v>
      </c>
      <c r="P38" s="6">
        <f>(P33/P35)*100</f>
        <v>79.89230769230771</v>
      </c>
      <c r="Q38" s="6">
        <f t="shared" ref="Q38:U38" si="10">(Q33/Q35)*100</f>
        <v>77.085714285714289</v>
      </c>
      <c r="R38" s="6">
        <f t="shared" si="10"/>
        <v>74.600000000000009</v>
      </c>
      <c r="S38" s="6">
        <f t="shared" si="10"/>
        <v>74.196428571428584</v>
      </c>
      <c r="T38" s="6">
        <f t="shared" si="10"/>
        <v>73.327941176470603</v>
      </c>
      <c r="U38" s="6">
        <f t="shared" si="10"/>
        <v>71.576543209876547</v>
      </c>
    </row>
    <row r="39" spans="1:21" ht="16" x14ac:dyDescent="0.2">
      <c r="A39" s="21"/>
      <c r="B39" s="21"/>
      <c r="C39" s="16"/>
      <c r="D39" s="16"/>
    </row>
    <row r="40" spans="1:21" ht="16" x14ac:dyDescent="0.2">
      <c r="A40" s="21"/>
      <c r="B40" s="21"/>
      <c r="C40" s="16"/>
      <c r="D40" s="16"/>
    </row>
    <row r="41" spans="1:21" ht="16" x14ac:dyDescent="0.2">
      <c r="A41" s="21"/>
      <c r="B41" s="21"/>
      <c r="C41" s="16"/>
      <c r="D41" s="16"/>
    </row>
    <row r="42" spans="1:21" ht="16" x14ac:dyDescent="0.2">
      <c r="A42" s="21"/>
      <c r="B42" s="21"/>
      <c r="C42" s="16"/>
      <c r="D42" s="16"/>
    </row>
    <row r="43" spans="1:21" ht="16" x14ac:dyDescent="0.2">
      <c r="A43" s="21"/>
      <c r="B43" s="21"/>
      <c r="C43" s="16"/>
      <c r="D43" s="16"/>
    </row>
    <row r="44" spans="1:21" ht="16" x14ac:dyDescent="0.2">
      <c r="A44" s="21"/>
      <c r="B44" s="21"/>
      <c r="C44" s="16"/>
      <c r="D44" s="16"/>
    </row>
    <row r="45" spans="1:21" ht="16" x14ac:dyDescent="0.2">
      <c r="A45" s="21"/>
      <c r="B45" s="21"/>
      <c r="C45" s="16"/>
      <c r="D45" s="16"/>
    </row>
    <row r="46" spans="1:21" ht="16" x14ac:dyDescent="0.2">
      <c r="A46" s="21"/>
      <c r="B46" s="21"/>
      <c r="C46" s="16"/>
      <c r="D46" s="16"/>
    </row>
    <row r="47" spans="1:21" ht="16" x14ac:dyDescent="0.2">
      <c r="A47" s="21"/>
      <c r="B47" s="21"/>
      <c r="C47" s="16"/>
      <c r="D47" s="16"/>
    </row>
    <row r="48" spans="1:21" ht="16" x14ac:dyDescent="0.2">
      <c r="A48" s="21"/>
      <c r="B48" s="21"/>
      <c r="C48" s="16"/>
      <c r="D48" s="16"/>
    </row>
    <row r="49" spans="1:4" ht="16" x14ac:dyDescent="0.2">
      <c r="A49" s="21"/>
      <c r="B49" s="21"/>
      <c r="C49" s="16"/>
      <c r="D49" s="16"/>
    </row>
    <row r="50" spans="1:4" ht="16" x14ac:dyDescent="0.2">
      <c r="A50" s="21"/>
      <c r="B50" s="21"/>
      <c r="C50" s="16"/>
      <c r="D50" s="16"/>
    </row>
    <row r="51" spans="1:4" ht="16" x14ac:dyDescent="0.2">
      <c r="A51" s="21"/>
      <c r="B51" s="21"/>
      <c r="C51" s="16"/>
      <c r="D51" s="16"/>
    </row>
    <row r="52" spans="1:4" ht="16" x14ac:dyDescent="0.2">
      <c r="A52" s="21"/>
      <c r="B52" s="21"/>
      <c r="C52" s="16"/>
      <c r="D52" s="16"/>
    </row>
    <row r="53" spans="1:4" ht="16" x14ac:dyDescent="0.2">
      <c r="A53" s="21"/>
      <c r="B53" s="21"/>
      <c r="C53" s="16"/>
      <c r="D53" s="16"/>
    </row>
    <row r="54" spans="1:4" ht="16" x14ac:dyDescent="0.2">
      <c r="A54" s="21"/>
      <c r="B54" s="21"/>
      <c r="C54" s="16"/>
      <c r="D54" s="16"/>
    </row>
    <row r="55" spans="1:4" ht="16" x14ac:dyDescent="0.2">
      <c r="A55" s="21"/>
      <c r="B55" s="21"/>
      <c r="C55" s="16"/>
      <c r="D55" s="16"/>
    </row>
    <row r="56" spans="1:4" ht="16" x14ac:dyDescent="0.2">
      <c r="A56" s="21"/>
      <c r="B56" s="21"/>
      <c r="C56" s="16"/>
      <c r="D56" s="16"/>
    </row>
    <row r="57" spans="1:4" ht="16" x14ac:dyDescent="0.2">
      <c r="A57" s="21"/>
      <c r="B57" s="21"/>
      <c r="C57" s="16"/>
      <c r="D57" s="16"/>
    </row>
    <row r="58" spans="1:4" ht="16" x14ac:dyDescent="0.2">
      <c r="A58" s="21"/>
      <c r="B58" s="21"/>
      <c r="C58" s="16"/>
      <c r="D58" s="16"/>
    </row>
    <row r="59" spans="1:4" ht="16" x14ac:dyDescent="0.2">
      <c r="A59" s="21"/>
      <c r="B59" s="21"/>
      <c r="C59" s="16"/>
      <c r="D59" s="16"/>
    </row>
    <row r="60" spans="1:4" ht="16" x14ac:dyDescent="0.2">
      <c r="A60" s="21"/>
      <c r="B60" s="21"/>
      <c r="C60" s="16"/>
      <c r="D60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49"/>
  <sheetViews>
    <sheetView topLeftCell="V1" workbookViewId="0">
      <selection activeCell="V31" sqref="V31:AM31"/>
    </sheetView>
  </sheetViews>
  <sheetFormatPr baseColWidth="10" defaultRowHeight="15" x14ac:dyDescent="0.2"/>
  <cols>
    <col min="2" max="2" width="31.83203125" customWidth="1"/>
  </cols>
  <sheetData>
    <row r="1" spans="1:39" ht="16" x14ac:dyDescent="0.2">
      <c r="A1" s="3" t="s">
        <v>15</v>
      </c>
      <c r="B1" s="24" t="s">
        <v>681</v>
      </c>
      <c r="C1" s="3">
        <v>1919</v>
      </c>
      <c r="D1" s="3">
        <v>1925</v>
      </c>
      <c r="E1" s="3">
        <v>1945</v>
      </c>
      <c r="F1" s="3">
        <v>1954</v>
      </c>
      <c r="G1" s="3">
        <v>1959</v>
      </c>
      <c r="H1" s="3">
        <v>1964</v>
      </c>
      <c r="I1" s="3">
        <v>1968</v>
      </c>
      <c r="J1" s="3">
        <v>1974</v>
      </c>
      <c r="K1" s="3">
        <v>1979</v>
      </c>
      <c r="L1" s="3">
        <v>1984</v>
      </c>
      <c r="M1" s="3">
        <v>1989</v>
      </c>
      <c r="N1" s="3">
        <v>1994</v>
      </c>
      <c r="O1" s="3">
        <v>1999</v>
      </c>
      <c r="P1" s="3">
        <v>2004</v>
      </c>
      <c r="Q1" s="3">
        <v>2009</v>
      </c>
      <c r="R1" s="3">
        <v>2013</v>
      </c>
      <c r="S1" s="3">
        <v>2018</v>
      </c>
      <c r="T1" s="3">
        <v>2023</v>
      </c>
      <c r="V1" s="3">
        <v>1919</v>
      </c>
      <c r="W1" s="3">
        <v>1925</v>
      </c>
      <c r="X1" s="3">
        <v>1945</v>
      </c>
      <c r="Y1" s="3">
        <v>1954</v>
      </c>
      <c r="Z1" s="3">
        <v>1959</v>
      </c>
      <c r="AA1" s="3">
        <v>1964</v>
      </c>
      <c r="AB1" s="3">
        <v>1968</v>
      </c>
      <c r="AC1" s="3">
        <v>1974</v>
      </c>
      <c r="AD1" s="3">
        <v>1979</v>
      </c>
      <c r="AE1" s="3">
        <v>1984</v>
      </c>
      <c r="AF1" s="3">
        <v>1989</v>
      </c>
      <c r="AG1" s="3">
        <v>1994</v>
      </c>
      <c r="AH1" s="3">
        <v>1999</v>
      </c>
      <c r="AI1" s="3">
        <v>2004</v>
      </c>
      <c r="AJ1" s="3">
        <v>2009</v>
      </c>
      <c r="AK1" s="3">
        <v>2013</v>
      </c>
      <c r="AL1" s="3">
        <v>2018</v>
      </c>
      <c r="AM1" s="3">
        <v>2023</v>
      </c>
    </row>
    <row r="2" spans="1:39" ht="16" x14ac:dyDescent="0.2">
      <c r="A2" s="8" t="s">
        <v>102</v>
      </c>
      <c r="B2" s="16" t="s">
        <v>960</v>
      </c>
      <c r="C2" s="1">
        <v>52.8</v>
      </c>
      <c r="D2" s="1">
        <v>42.6</v>
      </c>
      <c r="E2" s="1">
        <v>44.7</v>
      </c>
      <c r="F2" s="1">
        <v>45.2</v>
      </c>
      <c r="G2" s="1">
        <v>38.9</v>
      </c>
      <c r="H2" s="1">
        <v>35.700000000000003</v>
      </c>
      <c r="I2" s="1">
        <v>37.5</v>
      </c>
      <c r="J2" s="1">
        <v>29.9</v>
      </c>
      <c r="K2" s="1">
        <v>36.4</v>
      </c>
      <c r="L2" s="1">
        <v>36.700000000000003</v>
      </c>
      <c r="M2" s="1">
        <v>32.4</v>
      </c>
      <c r="N2" s="1">
        <v>30.3</v>
      </c>
      <c r="O2" s="1">
        <v>30.1</v>
      </c>
      <c r="P2" s="1">
        <v>36.1</v>
      </c>
      <c r="Q2" s="1">
        <v>38</v>
      </c>
      <c r="R2" s="1">
        <v>33.700000000000003</v>
      </c>
      <c r="S2" s="1">
        <v>28.3</v>
      </c>
      <c r="T2" s="1">
        <v>29.2</v>
      </c>
      <c r="U2" s="16"/>
      <c r="V2" s="1">
        <v>52.8</v>
      </c>
      <c r="W2" s="1">
        <f>(D2*0.3)+D2</f>
        <v>55.38</v>
      </c>
      <c r="X2" s="1">
        <f>(E2*1.3)+E2</f>
        <v>102.81</v>
      </c>
      <c r="Y2" s="1">
        <f>(F2*1.75)+F2</f>
        <v>124.30000000000001</v>
      </c>
      <c r="Z2" s="1">
        <f>(G2*2)+G2</f>
        <v>116.69999999999999</v>
      </c>
      <c r="AA2" s="1">
        <f>(H2*2.25)+H2</f>
        <v>116.02500000000001</v>
      </c>
      <c r="AB2" s="1">
        <f>(I2*2.45)+I2</f>
        <v>129.375</v>
      </c>
      <c r="AC2" s="1">
        <f>(J2*2.75)+J2</f>
        <v>112.125</v>
      </c>
      <c r="AD2" s="1">
        <f>(K2*3)+K2</f>
        <v>145.6</v>
      </c>
      <c r="AE2" s="1">
        <f>(L2*3.25)+L2</f>
        <v>155.97500000000002</v>
      </c>
      <c r="AF2" s="1">
        <f>(M2*3.5)+M2</f>
        <v>145.79999999999998</v>
      </c>
      <c r="AG2" s="1">
        <f>(N2*3.75)+N2</f>
        <v>143.92500000000001</v>
      </c>
      <c r="AH2" s="1">
        <f>(O2*4)+O2</f>
        <v>150.5</v>
      </c>
      <c r="AI2" s="1">
        <f>(P2*4.25)+P2</f>
        <v>189.52500000000001</v>
      </c>
      <c r="AJ2" s="1">
        <f>(Q2*4.5)+Q2</f>
        <v>209</v>
      </c>
      <c r="AK2" s="1">
        <f>(R2*4.7)+R2</f>
        <v>192.09000000000003</v>
      </c>
      <c r="AL2" s="1">
        <f>(S2*4.95)+S2</f>
        <v>168.38500000000002</v>
      </c>
      <c r="AM2" s="1">
        <f>(T2*5.2)+T2</f>
        <v>181.04</v>
      </c>
    </row>
    <row r="3" spans="1:39" ht="16" x14ac:dyDescent="0.2">
      <c r="A3" s="8" t="s">
        <v>103</v>
      </c>
      <c r="B3" s="16" t="s">
        <v>961</v>
      </c>
      <c r="C3" s="1">
        <v>15.6</v>
      </c>
      <c r="D3" s="1">
        <v>16.2</v>
      </c>
      <c r="E3" s="1">
        <v>23.4</v>
      </c>
      <c r="F3" s="1">
        <v>32.799999999999997</v>
      </c>
      <c r="G3" s="1">
        <v>33</v>
      </c>
      <c r="H3" s="1">
        <v>35.9</v>
      </c>
      <c r="I3" s="1">
        <v>31</v>
      </c>
      <c r="J3" s="1">
        <v>27</v>
      </c>
      <c r="K3" s="1">
        <v>22.5</v>
      </c>
      <c r="L3" s="1">
        <v>31.8</v>
      </c>
      <c r="M3" s="1">
        <v>26.2</v>
      </c>
      <c r="N3" s="1">
        <v>25.4</v>
      </c>
      <c r="O3" s="1">
        <v>22.3</v>
      </c>
      <c r="P3" s="1">
        <v>23.4</v>
      </c>
      <c r="Q3" s="1">
        <v>21.5</v>
      </c>
      <c r="R3" s="1">
        <v>20.3</v>
      </c>
      <c r="S3" s="1">
        <v>17.600000000000001</v>
      </c>
      <c r="T3" s="1">
        <v>18.899999999999999</v>
      </c>
      <c r="U3" s="16"/>
      <c r="V3" s="1">
        <v>15.6</v>
      </c>
      <c r="W3" s="1">
        <f>(D3*0.3)+D3</f>
        <v>21.06</v>
      </c>
      <c r="X3" s="1">
        <f>(E3*1.3)+E3</f>
        <v>53.819999999999993</v>
      </c>
      <c r="Y3" s="1">
        <f>(F3*1.75)+F3</f>
        <v>90.199999999999989</v>
      </c>
      <c r="Z3" s="1">
        <f>(G3*2)+G3</f>
        <v>99</v>
      </c>
      <c r="AA3" s="1">
        <f>(H3*2.25)+H3</f>
        <v>116.67499999999998</v>
      </c>
      <c r="AB3" s="1">
        <f>(I3*2.45)+I3</f>
        <v>106.95</v>
      </c>
      <c r="AC3" s="1">
        <f>(J3*2.75)+J3</f>
        <v>101.25</v>
      </c>
      <c r="AD3" s="1">
        <f>(K3*3)+K3</f>
        <v>90</v>
      </c>
      <c r="AE3" s="1">
        <f>(L3*3.25)+L3</f>
        <v>135.15</v>
      </c>
      <c r="AF3" s="1">
        <f>(M3*3.5)+M3</f>
        <v>117.9</v>
      </c>
      <c r="AG3" s="1">
        <f>(N3*3.75)+N3</f>
        <v>120.65</v>
      </c>
      <c r="AH3" s="1">
        <f>(O3*4)+O3</f>
        <v>111.5</v>
      </c>
      <c r="AI3" s="1">
        <f>(P3*4.25)+P3</f>
        <v>122.85</v>
      </c>
      <c r="AJ3" s="1">
        <f>(Q3*4.5)+Q3</f>
        <v>118.25</v>
      </c>
      <c r="AK3" s="1">
        <f>(R3*4.7)+R3</f>
        <v>115.71000000000001</v>
      </c>
      <c r="AL3" s="1">
        <f>(S3*4.95)+S3</f>
        <v>104.72</v>
      </c>
      <c r="AM3" s="1">
        <f t="shared" ref="AM3" si="0">(T3*5.2)+T3</f>
        <v>117.18</v>
      </c>
    </row>
    <row r="4" spans="1:39" x14ac:dyDescent="0.2">
      <c r="A4" s="8" t="s">
        <v>104</v>
      </c>
      <c r="B4" s="1" t="s">
        <v>744</v>
      </c>
      <c r="C4" s="1"/>
      <c r="D4" s="1"/>
      <c r="E4" s="1">
        <v>18</v>
      </c>
      <c r="F4" s="1">
        <v>12.3</v>
      </c>
      <c r="G4" s="1">
        <v>20.3</v>
      </c>
      <c r="H4" s="1">
        <v>12.2</v>
      </c>
      <c r="I4" s="1">
        <v>18</v>
      </c>
      <c r="J4" s="1">
        <v>23.3</v>
      </c>
      <c r="K4" s="1">
        <v>21.9</v>
      </c>
      <c r="L4" s="1">
        <v>20.399999999999999</v>
      </c>
      <c r="M4" s="1">
        <v>17.2</v>
      </c>
      <c r="N4" s="1">
        <v>19.3</v>
      </c>
      <c r="O4" s="1">
        <v>22.4</v>
      </c>
      <c r="P4" s="1">
        <v>16.100000000000001</v>
      </c>
      <c r="Q4" s="1">
        <v>15</v>
      </c>
      <c r="R4" s="1">
        <v>18.3</v>
      </c>
      <c r="S4" s="1">
        <v>16.899999999999999</v>
      </c>
      <c r="T4" s="1">
        <v>18.7</v>
      </c>
      <c r="U4" s="1"/>
      <c r="V4" s="1"/>
      <c r="W4" s="1"/>
      <c r="X4" s="1">
        <v>18</v>
      </c>
      <c r="Y4" s="1">
        <f>(F4*0.45)+F4</f>
        <v>17.835000000000001</v>
      </c>
      <c r="Z4" s="1">
        <f>(G4*0.7)+G4</f>
        <v>34.51</v>
      </c>
      <c r="AA4" s="1">
        <f>(H4*0.95)+H4</f>
        <v>23.79</v>
      </c>
      <c r="AB4" s="1">
        <f>(I4*1.15)+I4</f>
        <v>38.700000000000003</v>
      </c>
      <c r="AC4" s="1">
        <f>(J4*1.45)+J4</f>
        <v>57.084999999999994</v>
      </c>
      <c r="AD4" s="1">
        <f>(K4*1.7)+K4</f>
        <v>59.129999999999995</v>
      </c>
      <c r="AE4" s="3">
        <f>(L4*1.95)+L4</f>
        <v>60.179999999999993</v>
      </c>
      <c r="AF4" s="1">
        <f>(M4*2.2)+M4</f>
        <v>55.040000000000006</v>
      </c>
      <c r="AG4" s="1">
        <f>(N4*2.45)+N4</f>
        <v>66.585000000000008</v>
      </c>
      <c r="AH4" s="1">
        <f>(O4*2.7)+O4</f>
        <v>82.88</v>
      </c>
      <c r="AI4" s="1">
        <f>(P4*2.95)+P4</f>
        <v>63.595000000000006</v>
      </c>
      <c r="AJ4" s="1">
        <f>(Q4*3.2)+Q4</f>
        <v>63</v>
      </c>
      <c r="AK4" s="1">
        <f>(R4*3.4)+R4</f>
        <v>80.52</v>
      </c>
      <c r="AL4" s="1">
        <f>(S4*3.65)+S4</f>
        <v>78.584999999999994</v>
      </c>
      <c r="AM4" s="1">
        <f>(T4*3.9)+T4</f>
        <v>91.63</v>
      </c>
    </row>
    <row r="5" spans="1:39" x14ac:dyDescent="0.2">
      <c r="A5" s="8" t="s">
        <v>959</v>
      </c>
      <c r="B5" s="1" t="s">
        <v>962</v>
      </c>
      <c r="C5" s="1">
        <v>14.2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U5" s="1"/>
      <c r="V5" s="1">
        <v>14.2</v>
      </c>
      <c r="W5" s="1"/>
      <c r="X5" s="1"/>
      <c r="Y5" s="1"/>
      <c r="Z5" s="1"/>
      <c r="AA5" s="1"/>
      <c r="AB5" s="1"/>
      <c r="AC5" s="1"/>
      <c r="AD5" s="1"/>
      <c r="AE5" s="3"/>
      <c r="AF5" s="1"/>
      <c r="AG5" s="1"/>
      <c r="AH5" s="1"/>
      <c r="AI5" s="1"/>
      <c r="AJ5" s="1"/>
      <c r="AK5" s="1"/>
      <c r="AL5" s="1"/>
      <c r="AM5" s="1"/>
    </row>
    <row r="6" spans="1:39" x14ac:dyDescent="0.2">
      <c r="A6" s="8" t="s">
        <v>105</v>
      </c>
      <c r="B6" s="1" t="s">
        <v>963</v>
      </c>
      <c r="C6" s="1"/>
      <c r="D6" s="1"/>
      <c r="E6" s="1">
        <v>11.1</v>
      </c>
      <c r="F6" s="1">
        <v>7.3</v>
      </c>
      <c r="G6" s="1">
        <v>7.2</v>
      </c>
      <c r="H6" s="1">
        <v>10.4</v>
      </c>
      <c r="I6" s="1">
        <v>13.1</v>
      </c>
      <c r="J6" s="1">
        <v>8.8000000000000007</v>
      </c>
      <c r="K6" s="1">
        <v>4.9000000000000004</v>
      </c>
      <c r="L6" s="1">
        <v>4.4000000000000004</v>
      </c>
      <c r="M6" s="1">
        <v>4.4000000000000004</v>
      </c>
      <c r="N6" s="1">
        <v>1.7</v>
      </c>
      <c r="O6" s="1"/>
      <c r="P6" s="1">
        <v>0.9</v>
      </c>
      <c r="Q6" s="1">
        <v>1.4</v>
      </c>
      <c r="R6" s="1">
        <v>1.6</v>
      </c>
      <c r="S6" s="1">
        <v>1.3</v>
      </c>
      <c r="T6" s="1">
        <v>0.6</v>
      </c>
      <c r="U6" s="1"/>
      <c r="V6" s="1"/>
      <c r="W6" s="1"/>
      <c r="X6" s="1">
        <v>11.1</v>
      </c>
      <c r="Y6" s="1">
        <f>(F6*0.45)+F6</f>
        <v>10.585000000000001</v>
      </c>
      <c r="Z6" s="1">
        <f>(G6*0.7)+G6</f>
        <v>12.24</v>
      </c>
      <c r="AA6" s="1">
        <f>(H6*0.95)+H6</f>
        <v>20.28</v>
      </c>
      <c r="AB6" s="1">
        <f>(I6*1.15)+I6</f>
        <v>28.164999999999999</v>
      </c>
      <c r="AC6" s="1">
        <f>(J6*1.45)+J6</f>
        <v>21.560000000000002</v>
      </c>
      <c r="AD6" s="1">
        <f>(K6*1.7)+K6</f>
        <v>13.23</v>
      </c>
      <c r="AE6" s="3">
        <f>(L6*1.95)+L6</f>
        <v>12.98</v>
      </c>
      <c r="AF6" s="1">
        <f>(M6*2.2)+M6</f>
        <v>14.080000000000002</v>
      </c>
      <c r="AG6" s="1">
        <f>(N6*2.45)+N6</f>
        <v>5.8650000000000002</v>
      </c>
      <c r="AH6" s="1"/>
      <c r="AI6" s="1">
        <f>(P6*2.95)+P6</f>
        <v>3.5550000000000002</v>
      </c>
      <c r="AJ6" s="1">
        <f>(Q6*3.2)+Q6</f>
        <v>5.879999999999999</v>
      </c>
      <c r="AK6" s="1">
        <f>(R6*3.4)+R6</f>
        <v>7.0400000000000009</v>
      </c>
      <c r="AL6" s="1">
        <f>(S6*3.65)+S6</f>
        <v>6.0449999999999999</v>
      </c>
      <c r="AM6" s="1">
        <f t="shared" ref="AM6" si="1">(T6*3.9)+T6</f>
        <v>2.94</v>
      </c>
    </row>
    <row r="7" spans="1:39" x14ac:dyDescent="0.2">
      <c r="A7" s="8" t="s">
        <v>106</v>
      </c>
      <c r="B7" s="1" t="s">
        <v>437</v>
      </c>
      <c r="C7" s="1"/>
      <c r="D7" s="1"/>
      <c r="E7" s="1"/>
      <c r="F7" s="1"/>
      <c r="G7" s="1"/>
      <c r="H7" s="1"/>
      <c r="I7" s="1"/>
      <c r="J7" s="1">
        <v>10.1</v>
      </c>
      <c r="K7" s="1">
        <v>6.4</v>
      </c>
      <c r="L7" s="1"/>
      <c r="M7" s="1"/>
      <c r="N7" s="1"/>
      <c r="O7" s="1"/>
      <c r="P7" s="1"/>
      <c r="Q7" s="1"/>
      <c r="U7" s="1"/>
      <c r="V7" s="1"/>
      <c r="W7" s="1"/>
      <c r="X7" s="1"/>
      <c r="Y7" s="1"/>
      <c r="Z7" s="1"/>
      <c r="AA7" s="1"/>
      <c r="AB7" s="1"/>
      <c r="AC7" s="1">
        <v>10.1</v>
      </c>
      <c r="AD7" s="1">
        <f>(K7*0.25)+K7</f>
        <v>8</v>
      </c>
      <c r="AE7" s="1"/>
      <c r="AF7" s="1"/>
      <c r="AG7" s="1"/>
      <c r="AH7" s="1"/>
      <c r="AI7" s="1"/>
      <c r="AJ7" s="1"/>
      <c r="AK7" s="1"/>
      <c r="AL7" s="1"/>
    </row>
    <row r="8" spans="1:39" x14ac:dyDescent="0.2">
      <c r="A8" s="8" t="s">
        <v>656</v>
      </c>
      <c r="B8" s="1" t="s">
        <v>964</v>
      </c>
      <c r="C8" s="1"/>
      <c r="D8" s="1"/>
      <c r="E8" s="1"/>
      <c r="F8" s="1"/>
      <c r="G8" s="1"/>
      <c r="H8" s="1"/>
      <c r="I8" s="1"/>
      <c r="J8" s="1"/>
      <c r="K8" s="1"/>
      <c r="M8" s="1">
        <v>3.7</v>
      </c>
      <c r="N8" s="1"/>
      <c r="O8" s="1"/>
      <c r="P8" s="1"/>
      <c r="Q8" s="1"/>
      <c r="U8" s="1"/>
      <c r="V8" s="1"/>
      <c r="W8" s="1"/>
      <c r="X8" s="1"/>
      <c r="Y8" s="1"/>
      <c r="Z8" s="1"/>
      <c r="AA8" s="1"/>
      <c r="AB8" s="1"/>
      <c r="AC8" s="1"/>
      <c r="AD8" s="1"/>
      <c r="AF8" s="1">
        <f>(M8*0.25)+M8</f>
        <v>4.625</v>
      </c>
      <c r="AG8" s="1"/>
      <c r="AH8" s="1"/>
      <c r="AI8" s="1"/>
      <c r="AJ8" s="1"/>
      <c r="AK8" s="1"/>
      <c r="AL8" s="1"/>
    </row>
    <row r="9" spans="1:39" x14ac:dyDescent="0.2">
      <c r="A9" s="8" t="s">
        <v>655</v>
      </c>
      <c r="B9" s="1" t="s">
        <v>965</v>
      </c>
      <c r="C9" s="1"/>
      <c r="D9" s="1"/>
      <c r="E9" s="1"/>
      <c r="F9" s="1"/>
      <c r="G9" s="1"/>
      <c r="H9" s="1"/>
      <c r="I9" s="1"/>
      <c r="J9" s="1"/>
      <c r="K9" s="1"/>
      <c r="L9" s="1"/>
      <c r="M9" s="1">
        <v>3.8</v>
      </c>
      <c r="N9" s="1"/>
      <c r="O9" s="1"/>
      <c r="P9" s="1"/>
      <c r="Q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>
        <v>3.8</v>
      </c>
      <c r="AG9" s="1"/>
      <c r="AH9" s="1"/>
      <c r="AI9" s="1"/>
      <c r="AJ9" s="1"/>
      <c r="AK9" s="1"/>
      <c r="AL9" s="1"/>
    </row>
    <row r="10" spans="1:39" ht="16" x14ac:dyDescent="0.2">
      <c r="A10" s="15" t="s">
        <v>957</v>
      </c>
      <c r="B10" s="1" t="s">
        <v>966</v>
      </c>
      <c r="C10" s="1"/>
      <c r="D10" s="1"/>
      <c r="E10" s="1"/>
      <c r="F10" s="1"/>
      <c r="G10" s="1"/>
      <c r="H10" s="1"/>
      <c r="I10" s="1"/>
      <c r="J10" s="1"/>
      <c r="K10" s="1"/>
      <c r="L10" s="1">
        <v>4.2</v>
      </c>
      <c r="M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>
        <v>4.2</v>
      </c>
      <c r="AF10" s="1"/>
      <c r="AL10" s="1"/>
    </row>
    <row r="11" spans="1:39" ht="16" x14ac:dyDescent="0.2">
      <c r="A11" s="15" t="s">
        <v>958</v>
      </c>
      <c r="B11" s="1" t="s">
        <v>966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v>9.9</v>
      </c>
      <c r="O11" s="1">
        <v>9.1</v>
      </c>
      <c r="P11" s="1">
        <v>11.6</v>
      </c>
      <c r="Q11" s="1">
        <v>11.7</v>
      </c>
      <c r="R11" s="1">
        <v>10.1</v>
      </c>
      <c r="S11" s="1">
        <v>15.1</v>
      </c>
      <c r="T11" s="1">
        <v>8.6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>
        <v>9.9</v>
      </c>
      <c r="AH11" s="1">
        <f>(O11*0.25)+O11</f>
        <v>11.375</v>
      </c>
      <c r="AI11" s="1">
        <f>(P11*0.5)+P11</f>
        <v>17.399999999999999</v>
      </c>
      <c r="AJ11" s="1">
        <f>(Q11*0.75)+Q11</f>
        <v>20.474999999999998</v>
      </c>
      <c r="AK11" s="1">
        <f>(R11*0.95)+R11</f>
        <v>19.695</v>
      </c>
      <c r="AL11" s="1">
        <f>(S11*1.2)+S11</f>
        <v>33.22</v>
      </c>
      <c r="AM11" s="1">
        <f>(T11*1.45)+T11</f>
        <v>21.07</v>
      </c>
    </row>
    <row r="12" spans="1:39" x14ac:dyDescent="0.2">
      <c r="A12" s="8" t="s">
        <v>653</v>
      </c>
      <c r="B12" s="1" t="s">
        <v>967</v>
      </c>
      <c r="C12" s="1"/>
      <c r="D12" s="1">
        <v>4.8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U12" s="1"/>
      <c r="V12" s="1"/>
      <c r="W12" s="1">
        <v>4.8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16" x14ac:dyDescent="0.2">
      <c r="A13" s="21" t="s">
        <v>651</v>
      </c>
      <c r="B13" s="1" t="s">
        <v>968</v>
      </c>
      <c r="C13" s="1"/>
      <c r="D13" s="1">
        <v>7.3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U13" s="1"/>
      <c r="V13" s="1"/>
      <c r="W13" s="1">
        <v>7.3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16" x14ac:dyDescent="0.2">
      <c r="A14" s="21" t="s">
        <v>236</v>
      </c>
      <c r="B14" s="1" t="s">
        <v>969</v>
      </c>
      <c r="C14" s="1"/>
      <c r="D14" s="1"/>
      <c r="E14" s="1"/>
      <c r="F14" s="1"/>
      <c r="G14" s="1"/>
      <c r="H14" s="1"/>
      <c r="I14" s="1"/>
      <c r="J14" s="1"/>
      <c r="K14" s="1">
        <v>4.5999999999999996</v>
      </c>
      <c r="L14" s="1"/>
      <c r="M14" s="1"/>
      <c r="N14" s="1"/>
      <c r="O14" s="1"/>
      <c r="P14" s="1"/>
      <c r="Q14" s="1"/>
      <c r="R14" s="1"/>
      <c r="U14" s="1"/>
      <c r="V14" s="1"/>
      <c r="W14" s="1"/>
      <c r="X14" s="1"/>
      <c r="Y14" s="1"/>
      <c r="Z14" s="1"/>
      <c r="AA14" s="1"/>
      <c r="AB14" s="1"/>
      <c r="AC14" s="1"/>
      <c r="AD14" s="1">
        <v>4.5999999999999996</v>
      </c>
      <c r="AE14" s="1"/>
      <c r="AF14" s="1"/>
      <c r="AG14" s="1"/>
      <c r="AH14" s="1"/>
      <c r="AI14" s="1"/>
      <c r="AJ14" s="1"/>
      <c r="AK14" s="1"/>
      <c r="AL14" s="1"/>
    </row>
    <row r="15" spans="1:39" x14ac:dyDescent="0.2">
      <c r="A15" s="8" t="s">
        <v>108</v>
      </c>
      <c r="B15" s="1" t="s">
        <v>970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7.9</v>
      </c>
      <c r="N15" s="1">
        <v>9</v>
      </c>
      <c r="O15" s="1">
        <v>11.3</v>
      </c>
      <c r="P15" s="1">
        <v>10</v>
      </c>
      <c r="Q15" s="1">
        <v>8.1</v>
      </c>
      <c r="R15" s="1">
        <v>6.6</v>
      </c>
      <c r="S15" s="1">
        <v>8.3000000000000007</v>
      </c>
      <c r="T15" s="1">
        <v>9.3000000000000007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>
        <v>7.9</v>
      </c>
      <c r="AG15" s="1">
        <f>(N15*0.25)+N15</f>
        <v>11.25</v>
      </c>
      <c r="AH15" s="1">
        <f>(O15*0.5)+O15</f>
        <v>16.950000000000003</v>
      </c>
      <c r="AI15" s="1">
        <f>(P15*0.75)+P15</f>
        <v>17.5</v>
      </c>
      <c r="AJ15" s="1">
        <f>(Q15*1)+Q15</f>
        <v>16.2</v>
      </c>
      <c r="AK15" s="1">
        <f>(R15*1.2)+R15</f>
        <v>14.52</v>
      </c>
      <c r="AL15" s="1">
        <f>(S15*1.45)+S15</f>
        <v>20.335000000000001</v>
      </c>
      <c r="AM15" s="1">
        <f>(T15*1.7)+T15</f>
        <v>25.11</v>
      </c>
    </row>
    <row r="16" spans="1:39" x14ac:dyDescent="0.2">
      <c r="A16" s="8" t="s">
        <v>109</v>
      </c>
      <c r="B16" s="1" t="s">
        <v>971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v>3.3</v>
      </c>
      <c r="P16" s="1">
        <v>1.9</v>
      </c>
      <c r="Q16" s="1">
        <v>3.3</v>
      </c>
      <c r="R16" s="1">
        <v>4.9000000000000004</v>
      </c>
      <c r="S16" s="1">
        <v>5.5</v>
      </c>
      <c r="T16" s="1">
        <v>3.9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>
        <v>3.3</v>
      </c>
      <c r="AI16" s="1">
        <f>(P16*0.25)+P16</f>
        <v>2.375</v>
      </c>
      <c r="AJ16" s="1">
        <f>(Q16*0.5)+Q16</f>
        <v>4.9499999999999993</v>
      </c>
      <c r="AK16" s="1">
        <f>(R16*0.7)+R16</f>
        <v>8.33</v>
      </c>
      <c r="AL16" s="1">
        <f>(S16*0.95)+S16</f>
        <v>10.725</v>
      </c>
      <c r="AM16" s="1">
        <f>(T16*1.2)+T16</f>
        <v>8.58</v>
      </c>
    </row>
    <row r="17" spans="1:39" x14ac:dyDescent="0.2">
      <c r="A17" s="8" t="s">
        <v>1359</v>
      </c>
      <c r="B17" s="1" t="s">
        <v>1360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v>2.9</v>
      </c>
      <c r="S17" s="1">
        <v>6.5</v>
      </c>
      <c r="T17" s="1">
        <v>6.7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>
        <v>2.9</v>
      </c>
      <c r="AL17" s="1">
        <f>(S17*0.25)+S17</f>
        <v>8.125</v>
      </c>
      <c r="AM17" s="1">
        <f>(T17*0.5)+T17</f>
        <v>10.050000000000001</v>
      </c>
    </row>
    <row r="18" spans="1:39" ht="16" x14ac:dyDescent="0.2">
      <c r="A18" s="21" t="s">
        <v>5</v>
      </c>
      <c r="B18" s="1" t="s">
        <v>972</v>
      </c>
      <c r="C18" s="1">
        <v>6.2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U18" s="1"/>
      <c r="V18" s="1">
        <v>6.2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9" ht="16" x14ac:dyDescent="0.2">
      <c r="A19" s="21" t="s">
        <v>654</v>
      </c>
      <c r="B19" s="1" t="s">
        <v>973</v>
      </c>
      <c r="C19" s="1"/>
      <c r="D19" s="1"/>
      <c r="E19" s="1"/>
      <c r="F19" s="1"/>
      <c r="G19" s="1"/>
      <c r="H19" s="1">
        <v>5.8</v>
      </c>
      <c r="I19" s="1">
        <v>0.4</v>
      </c>
      <c r="J19" s="1"/>
      <c r="K19" s="1"/>
      <c r="L19" s="1"/>
      <c r="M19" s="1"/>
      <c r="N19" s="1"/>
      <c r="O19" s="1"/>
      <c r="P19" s="1"/>
      <c r="Q19" s="1"/>
      <c r="R19" s="1"/>
      <c r="U19" s="1"/>
      <c r="V19" s="1"/>
      <c r="W19" s="1"/>
      <c r="X19" s="1"/>
      <c r="Y19" s="1"/>
      <c r="Z19" s="1"/>
      <c r="AA19" s="1">
        <v>5.8</v>
      </c>
      <c r="AB19" s="1">
        <f>(I19*0.2)+I19</f>
        <v>0.48000000000000004</v>
      </c>
      <c r="AC19" s="1"/>
      <c r="AD19" s="1"/>
      <c r="AE19" s="1"/>
      <c r="AF19" s="1"/>
      <c r="AG19" s="1"/>
      <c r="AH19" s="1"/>
      <c r="AI19" s="1"/>
      <c r="AJ19" s="1"/>
      <c r="AK19" s="1"/>
    </row>
    <row r="20" spans="1:39" ht="16" x14ac:dyDescent="0.2">
      <c r="A20" s="21" t="s">
        <v>652</v>
      </c>
      <c r="B20" s="1" t="s">
        <v>974</v>
      </c>
      <c r="C20" s="1">
        <v>3</v>
      </c>
      <c r="D20" s="1">
        <v>5.3</v>
      </c>
      <c r="E20" s="1">
        <v>1.6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U20" s="1"/>
      <c r="V20" s="1">
        <v>3</v>
      </c>
      <c r="W20" s="1">
        <f>(D20*0.3)+D20</f>
        <v>6.89</v>
      </c>
      <c r="X20" s="1">
        <f>(E20*1.3)+E20</f>
        <v>3.68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9" x14ac:dyDescent="0.2">
      <c r="A21" s="8" t="s">
        <v>649</v>
      </c>
      <c r="B21" s="1" t="s">
        <v>975</v>
      </c>
      <c r="C21" s="1">
        <v>6.6</v>
      </c>
      <c r="D21" s="1">
        <v>6.9</v>
      </c>
      <c r="U21" s="1"/>
      <c r="V21" s="1">
        <v>6.6</v>
      </c>
      <c r="W21" s="1">
        <f t="shared" ref="W21" si="2">(D21*0.3)+D21</f>
        <v>8.9700000000000006</v>
      </c>
      <c r="AC21" s="1"/>
      <c r="AD21" s="1"/>
      <c r="AE21" s="1"/>
      <c r="AF21" s="1"/>
      <c r="AG21" s="1"/>
      <c r="AH21" s="1"/>
      <c r="AI21" s="1"/>
      <c r="AJ21" s="1"/>
      <c r="AK21" s="1"/>
    </row>
    <row r="22" spans="1:39" x14ac:dyDescent="0.2">
      <c r="A22" s="8" t="s">
        <v>650</v>
      </c>
      <c r="B22" s="1" t="s">
        <v>976</v>
      </c>
      <c r="C22" s="1"/>
      <c r="D22" s="1">
        <v>9.6</v>
      </c>
      <c r="E22" s="1"/>
      <c r="U22" s="1"/>
      <c r="V22" s="1"/>
      <c r="W22" s="1">
        <v>9.6</v>
      </c>
      <c r="X22" s="1"/>
      <c r="AC22" s="1"/>
      <c r="AD22" s="1"/>
      <c r="AE22" s="1"/>
      <c r="AF22" s="1"/>
      <c r="AG22" s="1"/>
      <c r="AH22" s="1"/>
      <c r="AI22" s="1"/>
      <c r="AJ22" s="1"/>
      <c r="AK22" s="1"/>
      <c r="AM22" s="4"/>
    </row>
    <row r="23" spans="1:39" x14ac:dyDescent="0.2">
      <c r="U23" s="3" t="s">
        <v>14</v>
      </c>
      <c r="V23" s="1">
        <f>SUM(V2:V22)</f>
        <v>98.399999999999991</v>
      </c>
      <c r="W23" s="1">
        <f>SUM(W2:W22)</f>
        <v>113.99999999999999</v>
      </c>
      <c r="X23" s="1">
        <f t="shared" ref="X23:AM23" si="3">SUM(X2:X22)</f>
        <v>189.41</v>
      </c>
      <c r="Y23" s="1">
        <f t="shared" si="3"/>
        <v>242.92000000000002</v>
      </c>
      <c r="Z23" s="1">
        <f t="shared" si="3"/>
        <v>262.45</v>
      </c>
      <c r="AA23" s="1">
        <f t="shared" si="3"/>
        <v>282.57</v>
      </c>
      <c r="AB23" s="1">
        <f t="shared" si="3"/>
        <v>303.67</v>
      </c>
      <c r="AC23" s="1">
        <f t="shared" si="3"/>
        <v>302.12</v>
      </c>
      <c r="AD23" s="1">
        <f t="shared" si="3"/>
        <v>320.56000000000006</v>
      </c>
      <c r="AE23" s="1">
        <f t="shared" si="3"/>
        <v>368.48500000000001</v>
      </c>
      <c r="AF23" s="1">
        <f t="shared" si="3"/>
        <v>349.14499999999998</v>
      </c>
      <c r="AG23" s="1">
        <f t="shared" si="3"/>
        <v>358.17500000000007</v>
      </c>
      <c r="AH23" s="1">
        <f t="shared" si="3"/>
        <v>376.505</v>
      </c>
      <c r="AI23" s="1">
        <f t="shared" si="3"/>
        <v>416.8</v>
      </c>
      <c r="AJ23" s="1">
        <f t="shared" si="3"/>
        <v>437.755</v>
      </c>
      <c r="AK23" s="1">
        <f t="shared" si="3"/>
        <v>440.80500000000001</v>
      </c>
      <c r="AL23" s="1">
        <f t="shared" si="3"/>
        <v>430.14000000000004</v>
      </c>
      <c r="AM23" s="1">
        <f t="shared" si="3"/>
        <v>457.6</v>
      </c>
    </row>
    <row r="24" spans="1:39" x14ac:dyDescent="0.2">
      <c r="U24" s="3"/>
    </row>
    <row r="25" spans="1:39" x14ac:dyDescent="0.2">
      <c r="U25" s="3"/>
      <c r="V25" s="1">
        <v>100</v>
      </c>
      <c r="W25" s="1">
        <v>130</v>
      </c>
      <c r="X25" s="1">
        <v>230</v>
      </c>
      <c r="Y25" s="1">
        <v>275</v>
      </c>
      <c r="Z25" s="1">
        <v>300</v>
      </c>
      <c r="AA25" s="1">
        <v>325</v>
      </c>
      <c r="AB25" s="1">
        <v>345</v>
      </c>
      <c r="AC25" s="1">
        <v>375</v>
      </c>
      <c r="AD25" s="1">
        <v>400</v>
      </c>
      <c r="AE25" s="1">
        <v>425</v>
      </c>
      <c r="AF25" s="1">
        <v>450</v>
      </c>
      <c r="AG25" s="1">
        <v>475</v>
      </c>
      <c r="AH25" s="1">
        <v>500</v>
      </c>
      <c r="AI25" s="1">
        <v>525</v>
      </c>
      <c r="AJ25" s="1">
        <v>550</v>
      </c>
      <c r="AK25" s="1">
        <v>570</v>
      </c>
      <c r="AL25" s="1">
        <v>595</v>
      </c>
      <c r="AM25" s="1">
        <v>620</v>
      </c>
    </row>
    <row r="26" spans="1:39" x14ac:dyDescent="0.2">
      <c r="U26" s="3"/>
    </row>
    <row r="27" spans="1:39" x14ac:dyDescent="0.2">
      <c r="U27" s="3"/>
      <c r="V27" s="1">
        <f>V23</f>
        <v>98.399999999999991</v>
      </c>
      <c r="W27" s="1">
        <f>SUM(V27+W23)</f>
        <v>212.39999999999998</v>
      </c>
      <c r="X27" s="1">
        <f>SUM(W27+X23)</f>
        <v>401.80999999999995</v>
      </c>
      <c r="Y27" s="1">
        <f>SUM(X27+Y23)</f>
        <v>644.73</v>
      </c>
      <c r="Z27" s="1">
        <f t="shared" ref="Z27:AA27" si="4">SUM(Y27+Z23)</f>
        <v>907.18000000000006</v>
      </c>
      <c r="AA27" s="1">
        <f t="shared" si="4"/>
        <v>1189.75</v>
      </c>
      <c r="AB27" s="1">
        <f t="shared" ref="AB27" si="5">SUM(AA27+AB23)</f>
        <v>1493.42</v>
      </c>
      <c r="AC27" s="1">
        <f t="shared" ref="AC27" si="6">SUM(AB27+AC23)</f>
        <v>1795.54</v>
      </c>
      <c r="AD27" s="1">
        <f t="shared" ref="AD27" si="7">SUM(AC27+AD23)</f>
        <v>2116.1</v>
      </c>
      <c r="AE27" s="1">
        <f t="shared" ref="AE27" si="8">SUM(AD27+AE23)</f>
        <v>2484.585</v>
      </c>
      <c r="AF27" s="1">
        <f t="shared" ref="AF27" si="9">SUM(AE27+AF23)</f>
        <v>2833.73</v>
      </c>
      <c r="AG27" s="1">
        <f t="shared" ref="AG27" si="10">SUM(AF27+AG23)</f>
        <v>3191.9050000000002</v>
      </c>
      <c r="AH27" s="1">
        <f t="shared" ref="AH27" si="11">SUM(AG27+AH23)</f>
        <v>3568.4100000000003</v>
      </c>
      <c r="AI27" s="1">
        <f t="shared" ref="AI27" si="12">SUM(AH27+AI23)</f>
        <v>3985.2100000000005</v>
      </c>
      <c r="AJ27" s="1">
        <f t="shared" ref="AJ27" si="13">SUM(AI27+AJ23)</f>
        <v>4422.9650000000001</v>
      </c>
      <c r="AK27" s="1">
        <f t="shared" ref="AK27:AM27" si="14">SUM(AJ27+AK23)</f>
        <v>4863.7700000000004</v>
      </c>
      <c r="AL27" s="1">
        <f t="shared" si="14"/>
        <v>5293.9100000000008</v>
      </c>
      <c r="AM27" s="1">
        <f t="shared" si="14"/>
        <v>5751.5100000000011</v>
      </c>
    </row>
    <row r="28" spans="1:39" ht="16" x14ac:dyDescent="0.2">
      <c r="A28" s="21"/>
      <c r="B28" s="21"/>
      <c r="C28" s="21"/>
      <c r="D28" s="21"/>
      <c r="U28" s="3"/>
      <c r="V28" s="3"/>
      <c r="W28" s="3"/>
      <c r="X28" s="3"/>
      <c r="Z28" s="3"/>
      <c r="AA28" s="3"/>
      <c r="AB28" s="1"/>
      <c r="AC28" s="1"/>
      <c r="AD28" s="1"/>
      <c r="AE28" s="1"/>
      <c r="AF28" s="1"/>
      <c r="AG28" s="1"/>
      <c r="AH28" s="1"/>
      <c r="AI28" s="1"/>
      <c r="AJ28" s="1"/>
    </row>
    <row r="29" spans="1:39" ht="16" x14ac:dyDescent="0.2">
      <c r="A29" s="21"/>
      <c r="B29" s="21"/>
      <c r="C29" s="21"/>
      <c r="D29" s="21"/>
      <c r="S29" s="1"/>
      <c r="T29" s="1"/>
      <c r="U29" s="1"/>
      <c r="V29" s="1">
        <v>100</v>
      </c>
      <c r="W29" s="1">
        <f>SUM(V29+W25)</f>
        <v>230</v>
      </c>
      <c r="X29" s="1">
        <f>SUM(W29+X25)</f>
        <v>460</v>
      </c>
      <c r="Y29" s="1">
        <f>SUM(X29+Y25)</f>
        <v>735</v>
      </c>
      <c r="Z29" s="1">
        <f t="shared" ref="Z29:AA29" si="15">SUM(Y29+Z25)</f>
        <v>1035</v>
      </c>
      <c r="AA29" s="1">
        <f t="shared" si="15"/>
        <v>1360</v>
      </c>
      <c r="AB29" s="1">
        <f t="shared" ref="AB29" si="16">SUM(AA29+AB25)</f>
        <v>1705</v>
      </c>
      <c r="AC29" s="1">
        <f t="shared" ref="AC29" si="17">SUM(AB29+AC25)</f>
        <v>2080</v>
      </c>
      <c r="AD29" s="1">
        <f t="shared" ref="AD29" si="18">SUM(AC29+AD25)</f>
        <v>2480</v>
      </c>
      <c r="AE29" s="1">
        <f t="shared" ref="AE29" si="19">SUM(AD29+AE25)</f>
        <v>2905</v>
      </c>
      <c r="AF29" s="1">
        <f t="shared" ref="AF29" si="20">SUM(AE29+AF25)</f>
        <v>3355</v>
      </c>
      <c r="AG29" s="1">
        <f t="shared" ref="AG29" si="21">SUM(AF29+AG25)</f>
        <v>3830</v>
      </c>
      <c r="AH29" s="1">
        <f t="shared" ref="AH29" si="22">SUM(AG29+AH25)</f>
        <v>4330</v>
      </c>
      <c r="AI29" s="1">
        <f t="shared" ref="AI29" si="23">SUM(AH29+AI25)</f>
        <v>4855</v>
      </c>
      <c r="AJ29" s="1">
        <f t="shared" ref="AJ29" si="24">SUM(AI29+AJ25)</f>
        <v>5405</v>
      </c>
      <c r="AK29" s="1">
        <f t="shared" ref="AK29:AM29" si="25">SUM(AJ29+AK25)</f>
        <v>5975</v>
      </c>
      <c r="AL29" s="1">
        <f t="shared" si="25"/>
        <v>6570</v>
      </c>
      <c r="AM29" s="1">
        <f t="shared" si="25"/>
        <v>7190</v>
      </c>
    </row>
    <row r="30" spans="1:39" ht="16" x14ac:dyDescent="0.2">
      <c r="A30" s="21"/>
      <c r="B30" s="21"/>
      <c r="C30" s="21"/>
      <c r="D30" s="21"/>
    </row>
    <row r="31" spans="1:39" ht="16" x14ac:dyDescent="0.2">
      <c r="A31" s="21"/>
      <c r="B31" s="21"/>
      <c r="C31" s="21"/>
      <c r="D31" s="21"/>
      <c r="V31" s="4" t="s">
        <v>1563</v>
      </c>
      <c r="W31" s="4" t="s">
        <v>1563</v>
      </c>
      <c r="X31" s="4" t="s">
        <v>1563</v>
      </c>
      <c r="Y31" s="4" t="s">
        <v>1563</v>
      </c>
      <c r="Z31" s="4" t="s">
        <v>1563</v>
      </c>
      <c r="AA31" s="4" t="s">
        <v>1563</v>
      </c>
      <c r="AB31" s="4" t="s">
        <v>1563</v>
      </c>
      <c r="AC31" s="4" t="s">
        <v>1563</v>
      </c>
      <c r="AD31" s="4" t="s">
        <v>1563</v>
      </c>
      <c r="AE31" s="4" t="s">
        <v>1563</v>
      </c>
      <c r="AF31" s="4" t="s">
        <v>1563</v>
      </c>
      <c r="AG31" s="4" t="s">
        <v>1563</v>
      </c>
      <c r="AH31" s="4" t="s">
        <v>1563</v>
      </c>
      <c r="AI31" s="4" t="s">
        <v>1563</v>
      </c>
      <c r="AJ31" s="4" t="s">
        <v>1563</v>
      </c>
      <c r="AK31" s="4" t="s">
        <v>1563</v>
      </c>
      <c r="AL31" s="4" t="s">
        <v>1563</v>
      </c>
      <c r="AM31" s="4" t="s">
        <v>1563</v>
      </c>
    </row>
    <row r="32" spans="1:39" ht="16" x14ac:dyDescent="0.2">
      <c r="A32" s="21"/>
      <c r="B32" s="21"/>
      <c r="C32" s="21"/>
      <c r="D32" s="21"/>
      <c r="V32" s="6">
        <f>(V27/V29)*100</f>
        <v>98.399999999999991</v>
      </c>
      <c r="W32" s="6">
        <f>(W27/W29)*100</f>
        <v>92.347826086956502</v>
      </c>
      <c r="X32" s="6">
        <f>(X27/X29)*100</f>
        <v>87.34999999999998</v>
      </c>
      <c r="Y32" s="6">
        <f>(Y27/Y29)*100</f>
        <v>87.718367346938777</v>
      </c>
      <c r="Z32" s="6">
        <f t="shared" ref="Z32:AM32" si="26">(Z27/Z29)*100</f>
        <v>87.650241545893721</v>
      </c>
      <c r="AA32" s="6">
        <f t="shared" si="26"/>
        <v>87.481617647058812</v>
      </c>
      <c r="AB32" s="6">
        <f t="shared" si="26"/>
        <v>87.590615835777129</v>
      </c>
      <c r="AC32" s="6">
        <f t="shared" si="26"/>
        <v>86.32403846153845</v>
      </c>
      <c r="AD32" s="6">
        <f t="shared" si="26"/>
        <v>85.326612903225808</v>
      </c>
      <c r="AE32" s="6">
        <f t="shared" si="26"/>
        <v>85.527882960413081</v>
      </c>
      <c r="AF32" s="6">
        <f t="shared" si="26"/>
        <v>84.462891207153504</v>
      </c>
      <c r="AG32" s="6">
        <f t="shared" si="26"/>
        <v>83.339556135770238</v>
      </c>
      <c r="AH32" s="6">
        <f t="shared" si="26"/>
        <v>82.411316397228646</v>
      </c>
      <c r="AI32" s="6">
        <f t="shared" si="26"/>
        <v>82.084654994850681</v>
      </c>
      <c r="AJ32" s="6">
        <f t="shared" si="26"/>
        <v>81.830989824236823</v>
      </c>
      <c r="AK32" s="6">
        <f t="shared" si="26"/>
        <v>81.402008368200839</v>
      </c>
      <c r="AL32" s="6">
        <f t="shared" si="26"/>
        <v>80.577016742770184</v>
      </c>
      <c r="AM32" s="6">
        <f t="shared" si="26"/>
        <v>79.993184979137709</v>
      </c>
    </row>
    <row r="33" spans="1:4" ht="16" x14ac:dyDescent="0.2">
      <c r="A33" s="21"/>
      <c r="B33" s="21"/>
      <c r="C33" s="21"/>
      <c r="D33" s="21"/>
    </row>
    <row r="34" spans="1:4" ht="16" x14ac:dyDescent="0.2">
      <c r="A34" s="21"/>
      <c r="B34" s="21"/>
      <c r="C34" s="21"/>
      <c r="D34" s="21"/>
    </row>
    <row r="35" spans="1:4" ht="16" x14ac:dyDescent="0.2">
      <c r="A35" s="21"/>
      <c r="B35" s="21"/>
      <c r="C35" s="21"/>
      <c r="D35" s="21"/>
    </row>
    <row r="36" spans="1:4" ht="16" x14ac:dyDescent="0.2">
      <c r="A36" s="21"/>
      <c r="B36" s="21"/>
      <c r="C36" s="21"/>
      <c r="D36" s="21"/>
    </row>
    <row r="37" spans="1:4" ht="16" x14ac:dyDescent="0.2">
      <c r="A37" s="21"/>
      <c r="B37" s="21"/>
      <c r="C37" s="21"/>
      <c r="D37" s="21"/>
    </row>
    <row r="38" spans="1:4" ht="16" x14ac:dyDescent="0.2">
      <c r="A38" s="21"/>
      <c r="B38" s="21"/>
      <c r="C38" s="21"/>
      <c r="D38" s="21"/>
    </row>
    <row r="39" spans="1:4" ht="16" x14ac:dyDescent="0.2">
      <c r="A39" s="21"/>
      <c r="B39" s="21"/>
      <c r="C39" s="21"/>
      <c r="D39" s="21"/>
    </row>
    <row r="40" spans="1:4" ht="16" x14ac:dyDescent="0.2">
      <c r="A40" s="21"/>
      <c r="B40" s="21"/>
      <c r="C40" s="21"/>
      <c r="D40" s="21"/>
    </row>
    <row r="41" spans="1:4" ht="16" x14ac:dyDescent="0.2">
      <c r="A41" s="21"/>
      <c r="B41" s="21"/>
      <c r="C41" s="21"/>
      <c r="D41" s="21"/>
    </row>
    <row r="42" spans="1:4" ht="16" x14ac:dyDescent="0.2">
      <c r="A42" s="21"/>
      <c r="B42" s="21"/>
      <c r="C42" s="21"/>
      <c r="D42" s="21"/>
    </row>
    <row r="43" spans="1:4" ht="16" x14ac:dyDescent="0.2">
      <c r="A43" s="21"/>
      <c r="B43" s="21"/>
      <c r="C43" s="21"/>
      <c r="D43" s="21"/>
    </row>
    <row r="44" spans="1:4" ht="16" x14ac:dyDescent="0.2">
      <c r="A44" s="21"/>
      <c r="B44" s="21"/>
      <c r="C44" s="21"/>
      <c r="D44" s="21"/>
    </row>
    <row r="45" spans="1:4" ht="16" x14ac:dyDescent="0.2">
      <c r="A45" s="21"/>
      <c r="B45" s="21"/>
      <c r="C45" s="21"/>
      <c r="D45" s="21"/>
    </row>
    <row r="46" spans="1:4" ht="16" x14ac:dyDescent="0.2">
      <c r="A46" s="21"/>
      <c r="B46" s="21"/>
      <c r="C46" s="21"/>
      <c r="D46" s="21"/>
    </row>
    <row r="47" spans="1:4" ht="16" x14ac:dyDescent="0.2">
      <c r="A47" s="21"/>
      <c r="B47" s="21"/>
      <c r="C47" s="21"/>
      <c r="D47" s="21"/>
    </row>
    <row r="48" spans="1:4" ht="16" x14ac:dyDescent="0.2">
      <c r="A48" s="21"/>
      <c r="B48" s="21"/>
      <c r="C48" s="21"/>
      <c r="D48" s="21"/>
    </row>
    <row r="49" spans="1:4" ht="16" x14ac:dyDescent="0.2">
      <c r="A49" s="21"/>
      <c r="B49" s="21"/>
      <c r="C49" s="21"/>
      <c r="D49" s="2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F18"/>
  <sheetViews>
    <sheetView topLeftCell="R1" workbookViewId="0">
      <selection activeCell="R15" sqref="R15:AE15"/>
    </sheetView>
  </sheetViews>
  <sheetFormatPr baseColWidth="10" defaultRowHeight="15" x14ac:dyDescent="0.2"/>
  <cols>
    <col min="2" max="2" width="31.1640625" customWidth="1"/>
  </cols>
  <sheetData>
    <row r="1" spans="1:32" ht="16" x14ac:dyDescent="0.2">
      <c r="A1" s="3" t="s">
        <v>15</v>
      </c>
      <c r="B1" s="24" t="s">
        <v>681</v>
      </c>
      <c r="C1" s="3">
        <v>1962</v>
      </c>
      <c r="D1" s="3">
        <v>1966</v>
      </c>
      <c r="E1" s="3">
        <v>1971</v>
      </c>
      <c r="F1" s="3">
        <v>1976</v>
      </c>
      <c r="G1" s="3">
        <v>1981</v>
      </c>
      <c r="H1" s="3">
        <v>1987</v>
      </c>
      <c r="I1" s="3">
        <v>1992</v>
      </c>
      <c r="J1" s="3">
        <v>1996</v>
      </c>
      <c r="K1" s="3">
        <v>1998</v>
      </c>
      <c r="L1" s="3">
        <v>2003</v>
      </c>
      <c r="M1" s="3">
        <v>2008</v>
      </c>
      <c r="N1" s="3">
        <v>2013</v>
      </c>
      <c r="O1" s="3">
        <v>2017</v>
      </c>
      <c r="P1" s="3">
        <v>2022</v>
      </c>
      <c r="R1" s="3">
        <v>1962</v>
      </c>
      <c r="S1" s="3">
        <v>1966</v>
      </c>
      <c r="T1" s="3">
        <v>1971</v>
      </c>
      <c r="U1" s="3">
        <v>1976</v>
      </c>
      <c r="V1" s="3">
        <v>1981</v>
      </c>
      <c r="W1" s="3">
        <v>1987</v>
      </c>
      <c r="X1" s="3">
        <v>1992</v>
      </c>
      <c r="Y1" s="3">
        <v>1996</v>
      </c>
      <c r="Z1" s="3">
        <v>1998</v>
      </c>
      <c r="AA1" s="3">
        <v>2003</v>
      </c>
      <c r="AB1" s="3">
        <v>2008</v>
      </c>
      <c r="AC1" s="3">
        <v>2013</v>
      </c>
      <c r="AD1" s="3">
        <v>2017</v>
      </c>
      <c r="AE1" s="3">
        <v>2022</v>
      </c>
    </row>
    <row r="2" spans="1:32" ht="16" x14ac:dyDescent="0.2">
      <c r="A2" s="1" t="s">
        <v>17</v>
      </c>
      <c r="B2" s="16" t="s">
        <v>941</v>
      </c>
      <c r="C2" s="1">
        <v>42</v>
      </c>
      <c r="D2" s="1">
        <v>47.9</v>
      </c>
      <c r="E2" s="1">
        <v>48.1</v>
      </c>
      <c r="F2" s="1">
        <v>48.5</v>
      </c>
      <c r="G2" s="1">
        <v>50.9</v>
      </c>
      <c r="H2" s="1">
        <v>50.9</v>
      </c>
      <c r="I2" s="1">
        <v>51.8</v>
      </c>
      <c r="J2" s="1">
        <v>47.8</v>
      </c>
      <c r="K2" s="1">
        <v>51.8</v>
      </c>
      <c r="L2" s="1">
        <v>51.8</v>
      </c>
      <c r="M2" s="1">
        <v>49.3</v>
      </c>
      <c r="N2" s="1">
        <v>43.3</v>
      </c>
      <c r="O2" s="1">
        <v>43.7</v>
      </c>
      <c r="P2" s="1">
        <v>41.7</v>
      </c>
      <c r="R2" s="1">
        <v>42</v>
      </c>
      <c r="S2" s="1">
        <f>(D2*0.2)+D2</f>
        <v>57.48</v>
      </c>
      <c r="T2" s="1">
        <f>(E2*0.45)+E2</f>
        <v>69.745000000000005</v>
      </c>
      <c r="U2" s="1">
        <f>(F2*0.7)+F2</f>
        <v>82.449999999999989</v>
      </c>
      <c r="V2" s="1">
        <f>(G2*0.95)+G2</f>
        <v>99.254999999999995</v>
      </c>
      <c r="W2" s="1">
        <f>(H2*1.25)+H2</f>
        <v>114.52500000000001</v>
      </c>
      <c r="X2" s="1">
        <f>(I2*1.5)+I2</f>
        <v>129.5</v>
      </c>
      <c r="Y2" s="1">
        <f>(J2*1.7)+J2</f>
        <v>129.06</v>
      </c>
      <c r="Z2" s="1">
        <f>(K2*1.8)+K2</f>
        <v>145.04</v>
      </c>
      <c r="AA2" s="1">
        <f>(L2*2.05)+L2</f>
        <v>157.98999999999998</v>
      </c>
      <c r="AB2" s="1">
        <f>(M2*2.3)+M2</f>
        <v>162.69</v>
      </c>
      <c r="AC2" s="1">
        <f>(N2*2.55)+N2</f>
        <v>153.71499999999997</v>
      </c>
      <c r="AD2" s="1">
        <f>(O2*2.75)+O2</f>
        <v>163.875</v>
      </c>
      <c r="AE2" s="1">
        <f>(P2*3)+P2</f>
        <v>166.8</v>
      </c>
    </row>
    <row r="3" spans="1:32" ht="16" x14ac:dyDescent="0.2">
      <c r="A3" s="1" t="s">
        <v>18</v>
      </c>
      <c r="B3" s="16" t="s">
        <v>942</v>
      </c>
      <c r="C3" s="1">
        <v>33.799999999999997</v>
      </c>
      <c r="D3" s="1">
        <v>33.1</v>
      </c>
      <c r="E3" s="1">
        <v>50.8</v>
      </c>
      <c r="F3" s="1">
        <v>51.5</v>
      </c>
      <c r="G3" s="1">
        <v>49.1</v>
      </c>
      <c r="H3" s="1">
        <v>48.9</v>
      </c>
      <c r="I3" s="1">
        <v>46.5</v>
      </c>
      <c r="J3" s="1">
        <v>50.7</v>
      </c>
      <c r="K3" s="1">
        <v>47</v>
      </c>
      <c r="L3" s="1">
        <v>47.5</v>
      </c>
      <c r="M3" s="1">
        <v>48.8</v>
      </c>
      <c r="N3" s="1">
        <v>54.8</v>
      </c>
      <c r="O3" s="1">
        <v>55</v>
      </c>
      <c r="P3" s="1">
        <v>55.1</v>
      </c>
      <c r="R3" s="1">
        <v>33.799999999999997</v>
      </c>
      <c r="S3" s="1">
        <f>(D3*0.2)+D3</f>
        <v>39.72</v>
      </c>
      <c r="T3" s="1">
        <f>(E3*0.45)+E3</f>
        <v>73.66</v>
      </c>
      <c r="U3" s="1">
        <f>(F3*0.7)+F3</f>
        <v>87.55</v>
      </c>
      <c r="V3" s="1">
        <f>(G3*0.95)+G3</f>
        <v>95.745000000000005</v>
      </c>
      <c r="W3" s="1">
        <f>(H3*1.25)+H3</f>
        <v>110.02500000000001</v>
      </c>
      <c r="X3" s="1">
        <f>(I3*1.5)+I3</f>
        <v>116.25</v>
      </c>
      <c r="Y3" s="1">
        <f>(J3*1.7)+J3</f>
        <v>136.88999999999999</v>
      </c>
      <c r="Z3" s="1">
        <f>(K3*1.8)+K3</f>
        <v>131.60000000000002</v>
      </c>
      <c r="AA3" s="1">
        <f>(L3*2.05)+L3</f>
        <v>144.875</v>
      </c>
      <c r="AB3" s="1">
        <f>(M3*2.3)+M3</f>
        <v>161.03999999999996</v>
      </c>
      <c r="AC3" s="1">
        <f>(N3*2.55)+N3</f>
        <v>194.53999999999996</v>
      </c>
      <c r="AD3" s="1">
        <f>(O3*2.75)+O3</f>
        <v>206.25</v>
      </c>
      <c r="AE3" s="1">
        <f>(P3*3)+P3</f>
        <v>220.4</v>
      </c>
    </row>
    <row r="4" spans="1:32" ht="16" x14ac:dyDescent="0.2">
      <c r="A4" s="15" t="s">
        <v>554</v>
      </c>
      <c r="B4" s="16" t="s">
        <v>943</v>
      </c>
      <c r="C4" s="1">
        <v>9.5</v>
      </c>
      <c r="D4" s="1">
        <v>6</v>
      </c>
      <c r="E4" s="1"/>
      <c r="F4" s="1"/>
      <c r="G4" s="1"/>
      <c r="H4" s="1"/>
      <c r="I4" s="1"/>
      <c r="J4" s="1"/>
      <c r="K4" s="1"/>
      <c r="L4" s="1"/>
      <c r="M4" s="1"/>
      <c r="N4" s="1"/>
      <c r="R4" s="1">
        <v>9.5</v>
      </c>
      <c r="S4" s="1">
        <f t="shared" ref="S4:S6" si="0">(D4*0.2)+D4</f>
        <v>7.2</v>
      </c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2" ht="16" x14ac:dyDescent="0.2">
      <c r="A5" s="15" t="s">
        <v>327</v>
      </c>
      <c r="B5" s="16" t="s">
        <v>944</v>
      </c>
      <c r="C5" s="1">
        <v>9.3000000000000007</v>
      </c>
      <c r="D5" s="1">
        <v>1.3</v>
      </c>
      <c r="E5" s="1"/>
      <c r="F5" s="1"/>
      <c r="G5" s="1"/>
      <c r="H5" s="1"/>
      <c r="I5" s="1"/>
      <c r="J5" s="1"/>
      <c r="K5" s="1"/>
      <c r="L5" s="1"/>
      <c r="M5" s="1"/>
      <c r="N5" s="1"/>
      <c r="R5" s="1">
        <v>9.3000000000000007</v>
      </c>
      <c r="S5" s="1">
        <f t="shared" si="0"/>
        <v>1.56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2" ht="16" x14ac:dyDescent="0.2">
      <c r="A6" s="15" t="s">
        <v>21</v>
      </c>
      <c r="B6" s="16" t="s">
        <v>945</v>
      </c>
      <c r="C6" s="1">
        <v>4.8</v>
      </c>
      <c r="D6" s="1">
        <v>1.4</v>
      </c>
      <c r="E6" s="1">
        <v>1</v>
      </c>
      <c r="F6" s="1"/>
      <c r="G6" s="1"/>
      <c r="H6" s="1"/>
      <c r="I6" s="1"/>
      <c r="J6" s="1"/>
      <c r="K6" s="1"/>
      <c r="L6" s="1"/>
      <c r="M6" s="1"/>
      <c r="N6" s="1"/>
      <c r="R6" s="1">
        <v>4.8</v>
      </c>
      <c r="S6" s="1">
        <f t="shared" si="0"/>
        <v>1.68</v>
      </c>
      <c r="T6" s="1">
        <f t="shared" ref="T6" si="1">(E6*0.4)+E6</f>
        <v>1.4</v>
      </c>
      <c r="U6" s="1"/>
      <c r="V6" s="1"/>
      <c r="W6" s="1"/>
      <c r="X6" s="1"/>
      <c r="Y6" s="1"/>
      <c r="Z6" s="1"/>
      <c r="AA6" s="1"/>
      <c r="AB6" s="1"/>
      <c r="AC6" s="1"/>
    </row>
    <row r="7" spans="1:32" x14ac:dyDescent="0.2">
      <c r="Q7" s="3" t="s">
        <v>14</v>
      </c>
      <c r="R7" s="1">
        <f t="shared" ref="R7:AE7" si="2">SUM(R2:R6)</f>
        <v>99.399999999999991</v>
      </c>
      <c r="S7" s="1">
        <f t="shared" si="2"/>
        <v>107.64</v>
      </c>
      <c r="T7" s="1">
        <f t="shared" si="2"/>
        <v>144.80500000000001</v>
      </c>
      <c r="U7" s="1">
        <f t="shared" si="2"/>
        <v>170</v>
      </c>
      <c r="V7" s="1">
        <f t="shared" si="2"/>
        <v>195</v>
      </c>
      <c r="W7" s="1">
        <f t="shared" si="2"/>
        <v>224.55</v>
      </c>
      <c r="X7" s="1">
        <f t="shared" si="2"/>
        <v>245.75</v>
      </c>
      <c r="Y7" s="1">
        <f t="shared" si="2"/>
        <v>265.95</v>
      </c>
      <c r="Z7" s="1">
        <f t="shared" si="2"/>
        <v>276.64</v>
      </c>
      <c r="AA7" s="1">
        <f t="shared" si="2"/>
        <v>302.86500000000001</v>
      </c>
      <c r="AB7" s="1">
        <f t="shared" si="2"/>
        <v>323.72999999999996</v>
      </c>
      <c r="AC7" s="1">
        <f t="shared" si="2"/>
        <v>348.25499999999994</v>
      </c>
      <c r="AD7" s="1">
        <f t="shared" si="2"/>
        <v>370.125</v>
      </c>
      <c r="AE7" s="1">
        <f t="shared" si="2"/>
        <v>387.20000000000005</v>
      </c>
    </row>
    <row r="9" spans="1:32" x14ac:dyDescent="0.2">
      <c r="R9" s="1">
        <v>100</v>
      </c>
      <c r="S9" s="1">
        <v>120</v>
      </c>
      <c r="T9" s="1">
        <v>145</v>
      </c>
      <c r="U9" s="1">
        <v>170</v>
      </c>
      <c r="V9" s="1">
        <v>195</v>
      </c>
      <c r="W9" s="1">
        <v>225</v>
      </c>
      <c r="X9" s="1">
        <v>250</v>
      </c>
      <c r="Y9" s="1">
        <v>270</v>
      </c>
      <c r="Z9" s="1">
        <v>280</v>
      </c>
      <c r="AA9" s="1">
        <v>305</v>
      </c>
      <c r="AB9" s="1">
        <v>330</v>
      </c>
      <c r="AC9" s="1">
        <v>355</v>
      </c>
      <c r="AD9" s="1">
        <v>375</v>
      </c>
      <c r="AE9" s="1">
        <v>400</v>
      </c>
    </row>
    <row r="11" spans="1:32" x14ac:dyDescent="0.2">
      <c r="R11" s="1">
        <f>R7</f>
        <v>99.399999999999991</v>
      </c>
      <c r="S11" s="1">
        <f>SUM(R11+S7)</f>
        <v>207.04</v>
      </c>
      <c r="T11" s="1">
        <f>SUM(S11+T7)</f>
        <v>351.84500000000003</v>
      </c>
      <c r="U11" s="1">
        <f>SUM(T11+U7)</f>
        <v>521.84500000000003</v>
      </c>
      <c r="V11" s="1">
        <f t="shared" ref="V11:W11" si="3">SUM(U11+V7)</f>
        <v>716.84500000000003</v>
      </c>
      <c r="W11" s="1">
        <f t="shared" si="3"/>
        <v>941.39499999999998</v>
      </c>
      <c r="X11" s="1">
        <f t="shared" ref="X11" si="4">SUM(W11+X7)</f>
        <v>1187.145</v>
      </c>
      <c r="Y11" s="1">
        <f t="shared" ref="Y11" si="5">SUM(X11+Y7)</f>
        <v>1453.095</v>
      </c>
      <c r="Z11" s="1">
        <f t="shared" ref="Z11" si="6">SUM(Y11+Z7)</f>
        <v>1729.7350000000001</v>
      </c>
      <c r="AA11" s="1">
        <f t="shared" ref="AA11" si="7">SUM(Z11+AA7)</f>
        <v>2032.6000000000001</v>
      </c>
      <c r="AB11" s="1">
        <f t="shared" ref="AB11" si="8">SUM(AA11+AB7)</f>
        <v>2356.33</v>
      </c>
      <c r="AC11" s="1">
        <f t="shared" ref="AC11:AE11" si="9">SUM(AB11+AC7)</f>
        <v>2704.585</v>
      </c>
      <c r="AD11" s="1">
        <f t="shared" si="9"/>
        <v>3074.71</v>
      </c>
      <c r="AE11" s="1">
        <f t="shared" si="9"/>
        <v>3461.91</v>
      </c>
    </row>
    <row r="12" spans="1:32" x14ac:dyDescent="0.2">
      <c r="R12" s="3"/>
      <c r="S12" s="3"/>
      <c r="T12" s="3"/>
      <c r="V12" s="3"/>
      <c r="W12" s="3"/>
      <c r="X12" s="3"/>
      <c r="Y12" s="3"/>
      <c r="Z12" s="3"/>
      <c r="AA12" s="3"/>
      <c r="AB12" s="3"/>
    </row>
    <row r="13" spans="1:32" x14ac:dyDescent="0.2">
      <c r="R13" s="1">
        <v>100</v>
      </c>
      <c r="S13" s="1">
        <f>SUM(R13+S9)</f>
        <v>220</v>
      </c>
      <c r="T13" s="1">
        <f>SUM(S13+T9)</f>
        <v>365</v>
      </c>
      <c r="U13" s="1">
        <f>SUM(T13+U9)</f>
        <v>535</v>
      </c>
      <c r="V13" s="1">
        <f t="shared" ref="V13:W13" si="10">SUM(U13+V9)</f>
        <v>730</v>
      </c>
      <c r="W13" s="1">
        <f t="shared" si="10"/>
        <v>955</v>
      </c>
      <c r="X13" s="1">
        <f t="shared" ref="X13" si="11">SUM(W13+X9)</f>
        <v>1205</v>
      </c>
      <c r="Y13" s="1">
        <f t="shared" ref="Y13" si="12">SUM(X13+Y9)</f>
        <v>1475</v>
      </c>
      <c r="Z13" s="1">
        <f t="shared" ref="Z13" si="13">SUM(Y13+Z9)</f>
        <v>1755</v>
      </c>
      <c r="AA13" s="1">
        <f t="shared" ref="AA13" si="14">SUM(Z13+AA9)</f>
        <v>2060</v>
      </c>
      <c r="AB13" s="1">
        <f t="shared" ref="AB13" si="15">SUM(AA13+AB9)</f>
        <v>2390</v>
      </c>
      <c r="AC13" s="1">
        <f t="shared" ref="AC13:AE13" si="16">SUM(AB13+AC9)</f>
        <v>2745</v>
      </c>
      <c r="AD13" s="1">
        <f t="shared" si="16"/>
        <v>3120</v>
      </c>
      <c r="AE13" s="1">
        <f t="shared" si="16"/>
        <v>3520</v>
      </c>
      <c r="AF13" s="1"/>
    </row>
    <row r="14" spans="1:32" ht="16" x14ac:dyDescent="0.2">
      <c r="A14" s="15"/>
      <c r="B14" s="15"/>
      <c r="C14" s="16"/>
      <c r="D14" s="16"/>
    </row>
    <row r="15" spans="1:32" ht="16" x14ac:dyDescent="0.2">
      <c r="A15" s="15"/>
      <c r="B15" s="15"/>
      <c r="C15" s="16"/>
      <c r="D15" s="16"/>
      <c r="R15" s="4" t="s">
        <v>1563</v>
      </c>
      <c r="S15" s="4" t="s">
        <v>1563</v>
      </c>
      <c r="T15" s="4" t="s">
        <v>1563</v>
      </c>
      <c r="U15" s="4" t="s">
        <v>1563</v>
      </c>
      <c r="V15" s="4" t="s">
        <v>1563</v>
      </c>
      <c r="W15" s="4" t="s">
        <v>1563</v>
      </c>
      <c r="X15" s="4" t="s">
        <v>1563</v>
      </c>
      <c r="Y15" s="4" t="s">
        <v>1563</v>
      </c>
      <c r="Z15" s="4" t="s">
        <v>1563</v>
      </c>
      <c r="AA15" s="4" t="s">
        <v>1563</v>
      </c>
      <c r="AB15" s="4" t="s">
        <v>1563</v>
      </c>
      <c r="AC15" s="4" t="s">
        <v>1563</v>
      </c>
      <c r="AD15" s="4" t="s">
        <v>1563</v>
      </c>
      <c r="AE15" s="4" t="s">
        <v>1563</v>
      </c>
    </row>
    <row r="16" spans="1:32" ht="16" x14ac:dyDescent="0.2">
      <c r="A16" s="15"/>
      <c r="B16" s="15"/>
      <c r="C16" s="16"/>
      <c r="D16" s="16"/>
      <c r="R16" s="6">
        <f>(R11/R13)*100</f>
        <v>99.399999999999991</v>
      </c>
      <c r="S16" s="6">
        <f>(S11/S13)*100</f>
        <v>94.109090909090909</v>
      </c>
      <c r="T16" s="6">
        <f>(T11/T13)*100</f>
        <v>96.395890410958913</v>
      </c>
      <c r="U16" s="6">
        <f>(U11/U13)*100</f>
        <v>97.541121495327104</v>
      </c>
      <c r="V16" s="6">
        <f t="shared" ref="V16:AE16" si="17">(V11/V13)*100</f>
        <v>98.197945205479456</v>
      </c>
      <c r="W16" s="6">
        <f t="shared" si="17"/>
        <v>98.575392670157072</v>
      </c>
      <c r="X16" s="6">
        <f t="shared" si="17"/>
        <v>98.518257261410795</v>
      </c>
      <c r="Y16" s="6">
        <f t="shared" si="17"/>
        <v>98.514915254237295</v>
      </c>
      <c r="Z16" s="6">
        <f t="shared" si="17"/>
        <v>98.560398860398863</v>
      </c>
      <c r="AA16" s="6">
        <f t="shared" si="17"/>
        <v>98.669902912621367</v>
      </c>
      <c r="AB16" s="6">
        <f t="shared" si="17"/>
        <v>98.591213389121336</v>
      </c>
      <c r="AC16" s="6">
        <f t="shared" si="17"/>
        <v>98.527686703096535</v>
      </c>
      <c r="AD16" s="6">
        <f t="shared" si="17"/>
        <v>98.548397435897442</v>
      </c>
      <c r="AE16" s="6">
        <f t="shared" si="17"/>
        <v>98.349715909090904</v>
      </c>
    </row>
    <row r="17" spans="1:4" ht="16" x14ac:dyDescent="0.2">
      <c r="A17" s="15"/>
      <c r="B17" s="15"/>
      <c r="C17" s="16"/>
      <c r="D17" s="16"/>
    </row>
    <row r="18" spans="1:4" ht="16" x14ac:dyDescent="0.2">
      <c r="A18" s="15"/>
      <c r="B18" s="15"/>
      <c r="C18" s="16"/>
      <c r="D18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W29"/>
  <sheetViews>
    <sheetView topLeftCell="E1" workbookViewId="0">
      <selection activeCell="N28" sqref="N28:W28"/>
    </sheetView>
  </sheetViews>
  <sheetFormatPr baseColWidth="10" defaultRowHeight="15" x14ac:dyDescent="0.2"/>
  <cols>
    <col min="2" max="2" width="43.1640625" customWidth="1"/>
  </cols>
  <sheetData>
    <row r="1" spans="1:23" ht="16" x14ac:dyDescent="0.2">
      <c r="A1" s="3" t="s">
        <v>15</v>
      </c>
      <c r="B1" s="24" t="s">
        <v>681</v>
      </c>
      <c r="C1" s="3">
        <v>1994</v>
      </c>
      <c r="D1" s="3">
        <v>1998</v>
      </c>
      <c r="E1" s="3">
        <v>2001</v>
      </c>
      <c r="F1" s="3">
        <v>2005</v>
      </c>
      <c r="G1" s="3" t="s">
        <v>187</v>
      </c>
      <c r="H1" s="3" t="s">
        <v>188</v>
      </c>
      <c r="I1" s="3">
        <v>2010</v>
      </c>
      <c r="J1" s="3">
        <v>2014</v>
      </c>
      <c r="K1" s="3">
        <v>2019</v>
      </c>
      <c r="L1" s="3">
        <v>2021</v>
      </c>
      <c r="N1" s="3">
        <v>1994</v>
      </c>
      <c r="O1" s="3">
        <v>1998</v>
      </c>
      <c r="P1" s="3">
        <v>2001</v>
      </c>
      <c r="Q1" s="3">
        <v>2005</v>
      </c>
      <c r="R1" s="3" t="s">
        <v>187</v>
      </c>
      <c r="S1" s="3" t="s">
        <v>188</v>
      </c>
      <c r="T1" s="3">
        <v>2010</v>
      </c>
      <c r="U1" s="3">
        <v>2014</v>
      </c>
      <c r="V1" s="3">
        <v>2019</v>
      </c>
      <c r="W1" s="3">
        <v>2021</v>
      </c>
    </row>
    <row r="2" spans="1:23" ht="16" x14ac:dyDescent="0.2">
      <c r="A2" s="8" t="s">
        <v>189</v>
      </c>
      <c r="B2" s="16" t="s">
        <v>929</v>
      </c>
      <c r="C2" s="1">
        <v>7.5</v>
      </c>
      <c r="D2" s="1">
        <v>19.399999999999999</v>
      </c>
      <c r="E2" s="1">
        <v>8.1999999999999993</v>
      </c>
      <c r="F2" s="1">
        <v>9.1</v>
      </c>
      <c r="G2" s="1">
        <v>3</v>
      </c>
      <c r="H2" s="1">
        <v>1.9</v>
      </c>
      <c r="I2" s="1">
        <v>0.5</v>
      </c>
      <c r="J2" s="1">
        <v>0.7</v>
      </c>
      <c r="N2" s="1">
        <v>7.5</v>
      </c>
      <c r="O2" s="1">
        <f>(D2*0.2)+D2</f>
        <v>23.279999999999998</v>
      </c>
      <c r="P2" s="1">
        <f>(E2*0.35)+E2</f>
        <v>11.069999999999999</v>
      </c>
      <c r="Q2" s="1">
        <f>(F2*0.55)+F2</f>
        <v>14.105</v>
      </c>
      <c r="R2" s="1">
        <f>(G2*0.75)+G2</f>
        <v>5.25</v>
      </c>
      <c r="S2" s="1">
        <f>(H2*0.75)+H2</f>
        <v>3.3249999999999997</v>
      </c>
      <c r="T2" s="1">
        <f>(I2*0.8)+I2</f>
        <v>0.9</v>
      </c>
      <c r="U2" s="1">
        <f>(J2*1)+J2</f>
        <v>1.4</v>
      </c>
    </row>
    <row r="3" spans="1:23" ht="16" x14ac:dyDescent="0.2">
      <c r="A3" s="8" t="s">
        <v>18</v>
      </c>
      <c r="B3" s="16" t="s">
        <v>698</v>
      </c>
      <c r="C3" s="1">
        <v>2.4</v>
      </c>
      <c r="D3" s="1">
        <v>0.5</v>
      </c>
      <c r="E3" s="1">
        <v>0.7</v>
      </c>
      <c r="F3" s="1"/>
      <c r="G3" s="1">
        <v>13.1</v>
      </c>
      <c r="H3" s="1">
        <v>14.7</v>
      </c>
      <c r="I3" s="1">
        <v>10</v>
      </c>
      <c r="J3" s="1">
        <v>9.6999999999999993</v>
      </c>
      <c r="K3" s="1">
        <v>1.3</v>
      </c>
      <c r="L3" s="1"/>
      <c r="N3" s="1">
        <v>2.4</v>
      </c>
      <c r="O3" s="1">
        <f t="shared" ref="O3:O4" si="0">(D3*0.2)+D3</f>
        <v>0.6</v>
      </c>
      <c r="P3" s="1">
        <f t="shared" ref="P3" si="1">(E3*0.35)+E3</f>
        <v>0.94499999999999995</v>
      </c>
      <c r="Q3" s="1"/>
      <c r="R3" s="1">
        <f t="shared" ref="R3" si="2">(G3*0.75)+G3</f>
        <v>22.924999999999997</v>
      </c>
      <c r="S3" s="1">
        <f t="shared" ref="S3" si="3">(H3*0.75)+H3</f>
        <v>25.724999999999998</v>
      </c>
      <c r="T3" s="1">
        <f t="shared" ref="T3" si="4">(I3*0.8)+I3</f>
        <v>18</v>
      </c>
      <c r="U3" s="1">
        <f t="shared" ref="U3" si="5">(J3*1)+J3</f>
        <v>19.399999999999999</v>
      </c>
      <c r="V3" s="1">
        <f>(K3*1.25)+K3</f>
        <v>2.9249999999999998</v>
      </c>
    </row>
    <row r="4" spans="1:23" ht="16" x14ac:dyDescent="0.2">
      <c r="A4" s="8" t="s">
        <v>190</v>
      </c>
      <c r="B4" s="16" t="s">
        <v>930</v>
      </c>
      <c r="C4" s="1">
        <v>22</v>
      </c>
      <c r="D4" s="1">
        <v>1.8</v>
      </c>
      <c r="E4" s="1"/>
      <c r="F4" s="1">
        <v>5</v>
      </c>
      <c r="G4" s="3"/>
      <c r="H4" s="3"/>
      <c r="I4" s="3"/>
      <c r="J4" s="3"/>
      <c r="N4" s="1">
        <v>22</v>
      </c>
      <c r="O4" s="1">
        <f t="shared" si="0"/>
        <v>2.16</v>
      </c>
      <c r="P4" s="1"/>
      <c r="Q4" s="1">
        <f t="shared" ref="Q4" si="6">(F4*0.55)+F4</f>
        <v>7.75</v>
      </c>
      <c r="R4" s="1"/>
      <c r="S4" s="1"/>
      <c r="T4" s="1"/>
      <c r="U4" s="1"/>
      <c r="V4" s="1"/>
    </row>
    <row r="5" spans="1:23" ht="16" x14ac:dyDescent="0.2">
      <c r="A5" s="8" t="s">
        <v>1415</v>
      </c>
      <c r="B5" s="16" t="s">
        <v>1414</v>
      </c>
      <c r="C5" s="1"/>
      <c r="D5" s="1"/>
      <c r="E5" s="1"/>
      <c r="F5" s="1"/>
      <c r="G5" s="3"/>
      <c r="H5" s="3"/>
      <c r="I5" s="3"/>
      <c r="J5" s="1">
        <v>0.7</v>
      </c>
      <c r="K5" s="1"/>
      <c r="L5" s="1">
        <v>2.2999999999999998</v>
      </c>
      <c r="N5" s="1"/>
      <c r="O5" s="1"/>
      <c r="P5" s="1"/>
      <c r="Q5" s="1"/>
      <c r="R5" s="1"/>
      <c r="S5" s="1"/>
      <c r="T5" s="1"/>
      <c r="U5" s="1">
        <v>0.7</v>
      </c>
      <c r="V5" s="1"/>
      <c r="W5" s="1">
        <f>(L5*0.35)+L5</f>
        <v>3.1049999999999995</v>
      </c>
    </row>
    <row r="6" spans="1:23" ht="16" x14ac:dyDescent="0.2">
      <c r="A6" s="8" t="s">
        <v>1459</v>
      </c>
      <c r="B6" s="16" t="s">
        <v>1460</v>
      </c>
      <c r="C6" s="1"/>
      <c r="D6" s="1"/>
      <c r="E6" s="1"/>
      <c r="F6" s="1"/>
      <c r="G6" s="3"/>
      <c r="H6" s="3"/>
      <c r="I6" s="3"/>
      <c r="J6" s="1"/>
      <c r="K6" s="1">
        <v>26.8</v>
      </c>
      <c r="L6" s="1">
        <v>52.8</v>
      </c>
      <c r="N6" s="1"/>
      <c r="O6" s="1"/>
      <c r="P6" s="1"/>
      <c r="Q6" s="1"/>
      <c r="R6" s="1"/>
      <c r="S6" s="1"/>
      <c r="T6" s="1"/>
      <c r="U6" s="1"/>
      <c r="V6" s="1">
        <v>26.8</v>
      </c>
      <c r="W6" s="1">
        <f>(L6*0.1)+L6</f>
        <v>58.08</v>
      </c>
    </row>
    <row r="7" spans="1:23" ht="16" x14ac:dyDescent="0.2">
      <c r="A7" s="8" t="s">
        <v>19</v>
      </c>
      <c r="B7" s="16" t="s">
        <v>1403</v>
      </c>
      <c r="C7" s="1"/>
      <c r="D7" s="1"/>
      <c r="E7" s="1">
        <v>0.4</v>
      </c>
      <c r="F7" s="1">
        <v>2.8</v>
      </c>
      <c r="G7" s="3"/>
      <c r="H7" s="3"/>
      <c r="I7" s="1">
        <v>0.1</v>
      </c>
      <c r="J7" s="1"/>
      <c r="K7" s="1">
        <v>8.3000000000000007</v>
      </c>
      <c r="L7" s="1">
        <v>5.7</v>
      </c>
      <c r="N7" s="1"/>
      <c r="O7" s="1"/>
      <c r="P7" s="1">
        <v>0.4</v>
      </c>
      <c r="Q7" s="1">
        <f>(F7*0.2)+F7</f>
        <v>3.36</v>
      </c>
      <c r="R7" s="1"/>
      <c r="S7" s="1"/>
      <c r="T7" s="1">
        <f>(I7*0.45)+I7</f>
        <v>0.14500000000000002</v>
      </c>
      <c r="U7" s="1"/>
      <c r="V7" s="1">
        <f>(K7*0.9)+K7</f>
        <v>15.770000000000001</v>
      </c>
      <c r="W7" s="1">
        <f>(L7*1)+L7</f>
        <v>11.4</v>
      </c>
    </row>
    <row r="8" spans="1:23" ht="16" x14ac:dyDescent="0.2">
      <c r="A8" s="8" t="s">
        <v>17</v>
      </c>
      <c r="B8" s="16" t="s">
        <v>1404</v>
      </c>
      <c r="C8" s="1"/>
      <c r="D8" s="1"/>
      <c r="E8" s="1">
        <v>0.3</v>
      </c>
      <c r="F8" s="1">
        <v>1.4</v>
      </c>
      <c r="G8" s="3"/>
      <c r="H8" s="3"/>
      <c r="I8" s="1">
        <v>0.1</v>
      </c>
      <c r="J8" s="1"/>
      <c r="K8" s="1">
        <v>3</v>
      </c>
      <c r="L8" s="1">
        <v>4.0999999999999996</v>
      </c>
      <c r="N8" s="1"/>
      <c r="O8" s="1"/>
      <c r="P8" s="1">
        <v>0.3</v>
      </c>
      <c r="Q8" s="1">
        <f>(F8*0.2)+F8</f>
        <v>1.68</v>
      </c>
      <c r="R8" s="1"/>
      <c r="S8" s="1"/>
      <c r="T8" s="1">
        <f>(I8*0.45)+I8</f>
        <v>0.14500000000000002</v>
      </c>
      <c r="U8" s="1"/>
      <c r="V8" s="1">
        <f>(K8*0.9)+K8</f>
        <v>5.7</v>
      </c>
      <c r="W8" s="1">
        <f>(L8*1)+L8</f>
        <v>8.1999999999999993</v>
      </c>
    </row>
    <row r="9" spans="1:23" ht="16" x14ac:dyDescent="0.2">
      <c r="A9" s="8" t="s">
        <v>182</v>
      </c>
      <c r="B9" s="16" t="s">
        <v>931</v>
      </c>
      <c r="C9" s="1"/>
      <c r="D9" s="1">
        <v>30</v>
      </c>
      <c r="E9" s="1">
        <v>50.1</v>
      </c>
      <c r="F9" s="1">
        <v>46</v>
      </c>
      <c r="G9" s="1">
        <v>49.5</v>
      </c>
      <c r="H9" s="1">
        <v>44.7</v>
      </c>
      <c r="I9" s="1">
        <v>39.299999999999997</v>
      </c>
      <c r="J9" s="1">
        <v>17.5</v>
      </c>
      <c r="K9" s="1">
        <v>3.8</v>
      </c>
      <c r="L9" s="1"/>
      <c r="N9" s="1"/>
      <c r="O9" s="1">
        <v>30</v>
      </c>
      <c r="P9" s="1">
        <f>(E9*0.15)+E9</f>
        <v>57.615000000000002</v>
      </c>
      <c r="Q9" s="1">
        <f>(F9*0.35)+F9</f>
        <v>62.099999999999994</v>
      </c>
      <c r="R9" s="1">
        <f>(G9*0.55)+G9</f>
        <v>76.724999999999994</v>
      </c>
      <c r="S9" s="1">
        <f>(H9*0.55)+H9</f>
        <v>69.285000000000011</v>
      </c>
      <c r="T9" s="1">
        <f>(I9*0.6)+I9</f>
        <v>62.879999999999995</v>
      </c>
      <c r="U9" s="1">
        <f>(J9*0.8)+J9</f>
        <v>31.5</v>
      </c>
      <c r="V9" s="1">
        <f>(K9*1.05)+K9</f>
        <v>7.7899999999999991</v>
      </c>
      <c r="W9" s="1"/>
    </row>
    <row r="10" spans="1:23" ht="16" x14ac:dyDescent="0.2">
      <c r="A10" s="8" t="s">
        <v>186</v>
      </c>
      <c r="B10" s="16" t="s">
        <v>932</v>
      </c>
      <c r="C10" s="1"/>
      <c r="D10" s="1">
        <v>18.2</v>
      </c>
      <c r="E10" s="1">
        <v>5</v>
      </c>
      <c r="F10" s="1">
        <v>28.5</v>
      </c>
      <c r="G10" s="1">
        <v>3</v>
      </c>
      <c r="H10" s="1">
        <v>12.5</v>
      </c>
      <c r="I10" s="1">
        <v>12.7</v>
      </c>
      <c r="J10" s="1">
        <v>15.8</v>
      </c>
      <c r="K10" s="1">
        <v>23.6</v>
      </c>
      <c r="L10" s="1">
        <v>1.8</v>
      </c>
      <c r="N10" s="1"/>
      <c r="O10" s="1">
        <v>18.2</v>
      </c>
      <c r="P10" s="1">
        <f>(E10*0.15)+E10</f>
        <v>5.75</v>
      </c>
      <c r="Q10" s="1">
        <f>(F10*0.35)+F10</f>
        <v>38.475000000000001</v>
      </c>
      <c r="R10" s="1">
        <f>(G10*0.55)+G10</f>
        <v>4.6500000000000004</v>
      </c>
      <c r="S10" s="1">
        <f>(H10*0.55)+H10</f>
        <v>19.375</v>
      </c>
      <c r="T10" s="1">
        <f>(I10*0.6)+I10</f>
        <v>20.32</v>
      </c>
      <c r="U10" s="1">
        <f>(J10*0.8)+J10</f>
        <v>28.44</v>
      </c>
      <c r="V10" s="1">
        <f>(K10*1.05)+K10</f>
        <v>48.38</v>
      </c>
      <c r="W10" s="1">
        <f>(L10*1.15)+L10</f>
        <v>3.87</v>
      </c>
    </row>
    <row r="11" spans="1:23" ht="16" x14ac:dyDescent="0.2">
      <c r="A11" s="8" t="s">
        <v>557</v>
      </c>
      <c r="B11" s="16" t="s">
        <v>933</v>
      </c>
      <c r="C11" s="1"/>
      <c r="D11" s="1"/>
      <c r="E11" s="1"/>
      <c r="F11" s="1"/>
      <c r="G11" s="1"/>
      <c r="H11" s="1"/>
      <c r="I11" s="1"/>
      <c r="J11" s="1">
        <v>4.9000000000000004</v>
      </c>
      <c r="N11" s="1"/>
      <c r="O11" s="1"/>
      <c r="P11" s="1"/>
      <c r="Q11" s="1"/>
      <c r="R11" s="1"/>
      <c r="S11" s="1"/>
      <c r="T11" s="1"/>
      <c r="U11" s="1">
        <v>4.9000000000000004</v>
      </c>
      <c r="V11" s="1"/>
      <c r="W11" s="1"/>
    </row>
    <row r="12" spans="1:23" ht="16" x14ac:dyDescent="0.2">
      <c r="A12" s="8" t="s">
        <v>555</v>
      </c>
      <c r="B12" s="16" t="s">
        <v>934</v>
      </c>
      <c r="C12" s="1"/>
      <c r="D12" s="1"/>
      <c r="E12" s="3">
        <v>5.8</v>
      </c>
      <c r="F12" s="1"/>
      <c r="G12" s="1"/>
      <c r="H12" s="1"/>
      <c r="I12" s="1"/>
      <c r="J12" s="1"/>
      <c r="N12" s="1"/>
      <c r="O12" s="1"/>
      <c r="P12" s="1">
        <f t="shared" ref="P12:P13" si="7">(E12*0.15)+E12</f>
        <v>6.67</v>
      </c>
      <c r="Q12" s="1"/>
      <c r="R12" s="1"/>
      <c r="S12" s="1"/>
      <c r="T12" s="1"/>
      <c r="U12" s="1"/>
      <c r="W12" s="1"/>
    </row>
    <row r="13" spans="1:23" ht="16" x14ac:dyDescent="0.2">
      <c r="A13" s="8" t="s">
        <v>556</v>
      </c>
      <c r="B13" s="16" t="s">
        <v>935</v>
      </c>
      <c r="C13" s="1"/>
      <c r="D13" s="1">
        <v>0.6</v>
      </c>
      <c r="E13" s="1">
        <v>0.5</v>
      </c>
      <c r="F13" s="1"/>
      <c r="G13" s="1"/>
      <c r="H13" s="1"/>
      <c r="I13" s="1"/>
      <c r="J13" s="1">
        <v>20.5</v>
      </c>
      <c r="K13" s="1">
        <v>31.2</v>
      </c>
      <c r="L13" s="1">
        <v>27.2</v>
      </c>
      <c r="N13" s="1"/>
      <c r="O13" s="1">
        <v>0.6</v>
      </c>
      <c r="P13" s="1">
        <f t="shared" si="7"/>
        <v>0.57499999999999996</v>
      </c>
      <c r="Q13" s="1"/>
      <c r="R13" s="1"/>
      <c r="S13" s="1"/>
      <c r="T13" s="1"/>
      <c r="U13" s="1">
        <f t="shared" ref="U13" si="8">(J13*0.8)+J13</f>
        <v>36.900000000000006</v>
      </c>
      <c r="V13" s="1">
        <f>(K13*1.05)+K13</f>
        <v>63.959999999999994</v>
      </c>
      <c r="W13" s="1">
        <f>(L13*1.15)+L13</f>
        <v>58.48</v>
      </c>
    </row>
    <row r="14" spans="1:23" ht="16" x14ac:dyDescent="0.2">
      <c r="A14" s="8" t="s">
        <v>558</v>
      </c>
      <c r="B14" s="16" t="s">
        <v>936</v>
      </c>
      <c r="C14" s="1">
        <v>43.2</v>
      </c>
      <c r="D14" s="1">
        <v>3.6</v>
      </c>
      <c r="E14" s="1">
        <v>1.2</v>
      </c>
      <c r="F14" s="1"/>
      <c r="G14" s="1"/>
      <c r="H14" s="1"/>
      <c r="I14" s="1"/>
      <c r="J14" s="1"/>
      <c r="N14" s="1">
        <v>43.2</v>
      </c>
      <c r="O14" s="1">
        <f>(D14*0.2)+D14</f>
        <v>4.32</v>
      </c>
      <c r="P14" s="1">
        <f>(E14*0.35)+E14</f>
        <v>1.6199999999999999</v>
      </c>
      <c r="Q14" s="1"/>
      <c r="R14" s="1"/>
      <c r="S14" s="1"/>
      <c r="T14" s="1"/>
      <c r="U14" s="1"/>
    </row>
    <row r="15" spans="1:23" ht="16" x14ac:dyDescent="0.2">
      <c r="A15" s="8" t="s">
        <v>559</v>
      </c>
      <c r="B15" s="16" t="s">
        <v>937</v>
      </c>
      <c r="C15" s="1">
        <v>9.1999999999999993</v>
      </c>
      <c r="D15" s="1">
        <v>8.8000000000000007</v>
      </c>
      <c r="E15" s="1">
        <v>1.2</v>
      </c>
      <c r="F15" s="1"/>
      <c r="G15" s="1"/>
      <c r="H15" s="1"/>
      <c r="I15" s="1"/>
      <c r="J15" s="1"/>
      <c r="N15" s="1">
        <v>9.1999999999999993</v>
      </c>
      <c r="O15" s="1">
        <f>(D15*0.2)+D15</f>
        <v>10.56</v>
      </c>
      <c r="P15" s="1">
        <f t="shared" ref="P15:P17" si="9">(E15*0.35)+E15</f>
        <v>1.6199999999999999</v>
      </c>
      <c r="Q15" s="1"/>
      <c r="R15" s="1"/>
      <c r="S15" s="1"/>
      <c r="T15" s="1"/>
      <c r="U15" s="1"/>
    </row>
    <row r="16" spans="1:23" ht="16" x14ac:dyDescent="0.2">
      <c r="A16" s="8" t="s">
        <v>560</v>
      </c>
      <c r="B16" s="16" t="s">
        <v>938</v>
      </c>
      <c r="C16" s="1"/>
      <c r="D16" s="1">
        <v>3.3</v>
      </c>
      <c r="E16" s="1">
        <v>13.4</v>
      </c>
      <c r="F16" s="1"/>
      <c r="G16" s="1"/>
      <c r="H16" s="1"/>
      <c r="I16" s="1"/>
      <c r="J16" s="1"/>
      <c r="N16" s="1"/>
      <c r="O16" s="1">
        <v>3.3</v>
      </c>
      <c r="P16" s="1">
        <f>(E16*0.15)+E16</f>
        <v>15.41</v>
      </c>
      <c r="Q16" s="1"/>
      <c r="R16" s="1"/>
      <c r="S16" s="1"/>
      <c r="T16" s="1"/>
      <c r="U16" s="1"/>
    </row>
    <row r="17" spans="1:23" ht="16" x14ac:dyDescent="0.2">
      <c r="A17" s="8" t="s">
        <v>20</v>
      </c>
      <c r="B17" s="16" t="s">
        <v>437</v>
      </c>
      <c r="C17" s="1">
        <v>3.7</v>
      </c>
      <c r="D17" s="1">
        <v>1.9</v>
      </c>
      <c r="E17" s="1">
        <v>2.5</v>
      </c>
      <c r="F17" s="1">
        <v>2.9</v>
      </c>
      <c r="G17" s="1">
        <v>3</v>
      </c>
      <c r="H17" s="1">
        <v>1.9</v>
      </c>
      <c r="I17" s="1">
        <v>0.6</v>
      </c>
      <c r="J17" s="1">
        <v>3.5</v>
      </c>
      <c r="N17" s="1">
        <v>3.7</v>
      </c>
      <c r="O17" s="1">
        <f t="shared" ref="O17" si="10">(D17*0.2)+D17</f>
        <v>2.2799999999999998</v>
      </c>
      <c r="P17" s="1">
        <f t="shared" si="9"/>
        <v>3.375</v>
      </c>
      <c r="Q17" s="1">
        <f>(F17*0.55)+F17</f>
        <v>4.4950000000000001</v>
      </c>
      <c r="R17" s="1">
        <f>(G17*0.75)+G17</f>
        <v>5.25</v>
      </c>
      <c r="S17" s="1">
        <f>(H17*0.75)+H17</f>
        <v>3.3249999999999997</v>
      </c>
      <c r="T17" s="1">
        <f>(I17*0.8)+I17</f>
        <v>1.08</v>
      </c>
      <c r="U17" s="1">
        <f>(J17*1)+J17</f>
        <v>7</v>
      </c>
      <c r="V17" s="1"/>
    </row>
    <row r="18" spans="1:23" ht="16" x14ac:dyDescent="0.2">
      <c r="A18" s="8" t="s">
        <v>184</v>
      </c>
      <c r="B18" s="16" t="s">
        <v>939</v>
      </c>
      <c r="C18" s="1"/>
      <c r="G18" s="3">
        <v>9.8000000000000007</v>
      </c>
      <c r="H18" s="1">
        <v>7.3</v>
      </c>
      <c r="I18" s="1">
        <v>2.1</v>
      </c>
      <c r="J18" s="1"/>
      <c r="N18" s="1"/>
      <c r="O18" s="1"/>
      <c r="P18" s="1"/>
      <c r="Q18" s="1"/>
      <c r="R18" s="1">
        <f>(G18*0.2)+G18</f>
        <v>11.760000000000002</v>
      </c>
      <c r="S18" s="1">
        <f>(H18*0.2)+H18</f>
        <v>8.76</v>
      </c>
      <c r="T18" s="1">
        <f>(I18*0.25)+I18</f>
        <v>2.625</v>
      </c>
      <c r="U18" s="1"/>
    </row>
    <row r="19" spans="1:23" ht="16" x14ac:dyDescent="0.2">
      <c r="A19" s="8" t="s">
        <v>185</v>
      </c>
      <c r="B19" s="16" t="s">
        <v>940</v>
      </c>
      <c r="C19" s="1"/>
      <c r="D19" s="1"/>
      <c r="E19" s="1"/>
      <c r="F19" s="1"/>
      <c r="G19" s="1">
        <v>12.4</v>
      </c>
      <c r="H19" s="1">
        <v>16.600000000000001</v>
      </c>
      <c r="I19" s="1">
        <v>29.4</v>
      </c>
      <c r="J19" s="1">
        <v>20.2</v>
      </c>
      <c r="N19" s="1"/>
      <c r="O19" s="1"/>
      <c r="P19" s="1"/>
      <c r="Q19" s="1"/>
      <c r="R19" s="1">
        <v>12.4</v>
      </c>
      <c r="S19" s="1">
        <v>16.600000000000001</v>
      </c>
      <c r="T19" s="1">
        <f>(I19*0.05)+I19</f>
        <v>30.869999999999997</v>
      </c>
      <c r="U19" s="1">
        <f>(J19*0.25)+J19</f>
        <v>25.25</v>
      </c>
      <c r="W19" s="4"/>
    </row>
    <row r="20" spans="1:23" x14ac:dyDescent="0.2">
      <c r="G20" s="1"/>
      <c r="H20" s="1"/>
      <c r="I20" s="1"/>
      <c r="J20" s="1"/>
      <c r="M20" s="3" t="s">
        <v>14</v>
      </c>
      <c r="N20" s="1">
        <f t="shared" ref="N20:W20" si="11">SUM(N2:N19)</f>
        <v>88</v>
      </c>
      <c r="O20" s="1">
        <f t="shared" si="11"/>
        <v>95.3</v>
      </c>
      <c r="P20" s="1">
        <f t="shared" si="11"/>
        <v>105.35000000000001</v>
      </c>
      <c r="Q20" s="1">
        <f t="shared" si="11"/>
        <v>131.965</v>
      </c>
      <c r="R20" s="1">
        <f t="shared" si="11"/>
        <v>138.96</v>
      </c>
      <c r="S20" s="1">
        <f t="shared" si="11"/>
        <v>146.39500000000001</v>
      </c>
      <c r="T20" s="1">
        <f t="shared" si="11"/>
        <v>136.96499999999997</v>
      </c>
      <c r="U20" s="1">
        <f t="shared" si="11"/>
        <v>155.49</v>
      </c>
      <c r="V20" s="1">
        <f t="shared" si="11"/>
        <v>171.32499999999999</v>
      </c>
      <c r="W20" s="1">
        <f t="shared" si="11"/>
        <v>143.13499999999999</v>
      </c>
    </row>
    <row r="22" spans="1:23" x14ac:dyDescent="0.2">
      <c r="N22" s="1">
        <v>100</v>
      </c>
      <c r="O22" s="1">
        <v>120</v>
      </c>
      <c r="P22" s="1">
        <v>135</v>
      </c>
      <c r="Q22" s="1">
        <v>155</v>
      </c>
      <c r="R22" s="1">
        <v>175</v>
      </c>
      <c r="S22" s="1">
        <v>175</v>
      </c>
      <c r="T22" s="1">
        <v>180</v>
      </c>
      <c r="U22" s="1">
        <v>200</v>
      </c>
      <c r="V22" s="1">
        <v>225</v>
      </c>
      <c r="W22" s="1">
        <v>235</v>
      </c>
    </row>
    <row r="24" spans="1:23" x14ac:dyDescent="0.2">
      <c r="N24" s="1">
        <f>N20</f>
        <v>88</v>
      </c>
      <c r="O24" s="1">
        <f>SUM(N24+O20)</f>
        <v>183.3</v>
      </c>
      <c r="P24" s="1">
        <f>SUM(O24+P20)</f>
        <v>288.65000000000003</v>
      </c>
      <c r="Q24" s="1">
        <f>SUM(P24+Q20)</f>
        <v>420.61500000000001</v>
      </c>
      <c r="R24" s="1">
        <f t="shared" ref="R24:W24" si="12">SUM(Q24+R20)</f>
        <v>559.57500000000005</v>
      </c>
      <c r="S24" s="1">
        <f t="shared" si="12"/>
        <v>705.97</v>
      </c>
      <c r="T24" s="1">
        <f t="shared" si="12"/>
        <v>842.93499999999995</v>
      </c>
      <c r="U24" s="1">
        <f t="shared" si="12"/>
        <v>998.42499999999995</v>
      </c>
      <c r="V24" s="1">
        <f t="shared" si="12"/>
        <v>1169.75</v>
      </c>
      <c r="W24" s="1">
        <f t="shared" si="12"/>
        <v>1312.885</v>
      </c>
    </row>
    <row r="25" spans="1:23" x14ac:dyDescent="0.2">
      <c r="N25" s="3"/>
      <c r="O25" s="3"/>
      <c r="P25" s="3"/>
      <c r="R25" s="3"/>
      <c r="S25" s="3"/>
      <c r="T25" s="3"/>
    </row>
    <row r="26" spans="1:23" x14ac:dyDescent="0.2">
      <c r="N26" s="1">
        <v>100</v>
      </c>
      <c r="O26" s="1">
        <f>SUM(N26+O22)</f>
        <v>220</v>
      </c>
      <c r="P26" s="1">
        <f>SUM(O26+P22)</f>
        <v>355</v>
      </c>
      <c r="Q26" s="1">
        <f>SUM(P26+Q22)</f>
        <v>510</v>
      </c>
      <c r="R26" s="1">
        <f t="shared" ref="R26:W26" si="13">SUM(Q26+R22)</f>
        <v>685</v>
      </c>
      <c r="S26" s="1">
        <f t="shared" si="13"/>
        <v>860</v>
      </c>
      <c r="T26" s="1">
        <f t="shared" si="13"/>
        <v>1040</v>
      </c>
      <c r="U26" s="1">
        <f t="shared" si="13"/>
        <v>1240</v>
      </c>
      <c r="V26" s="1">
        <f t="shared" si="13"/>
        <v>1465</v>
      </c>
      <c r="W26" s="1">
        <f t="shared" si="13"/>
        <v>1700</v>
      </c>
    </row>
    <row r="28" spans="1:23" x14ac:dyDescent="0.2">
      <c r="N28" s="4" t="s">
        <v>1563</v>
      </c>
      <c r="O28" s="4" t="s">
        <v>1563</v>
      </c>
      <c r="P28" s="4" t="s">
        <v>1563</v>
      </c>
      <c r="Q28" s="4" t="s">
        <v>1563</v>
      </c>
      <c r="R28" s="4" t="s">
        <v>1563</v>
      </c>
      <c r="S28" s="4" t="s">
        <v>1563</v>
      </c>
      <c r="T28" s="4" t="s">
        <v>1563</v>
      </c>
      <c r="U28" s="4" t="s">
        <v>1563</v>
      </c>
      <c r="V28" s="4" t="s">
        <v>1563</v>
      </c>
      <c r="W28" s="4" t="s">
        <v>1563</v>
      </c>
    </row>
    <row r="29" spans="1:23" x14ac:dyDescent="0.2">
      <c r="N29" s="6">
        <f>(N24/N26)*100</f>
        <v>88</v>
      </c>
      <c r="O29" s="6">
        <f>(O24/O26)*100</f>
        <v>83.318181818181827</v>
      </c>
      <c r="P29" s="6">
        <f>(P24/P26)*100</f>
        <v>81.309859154929583</v>
      </c>
      <c r="Q29" s="6">
        <f>(Q24/Q26)*100</f>
        <v>82.473529411764716</v>
      </c>
      <c r="R29" s="6">
        <f t="shared" ref="R29:W29" si="14">(R24/R26)*100</f>
        <v>81.689781021897815</v>
      </c>
      <c r="S29" s="6">
        <f t="shared" si="14"/>
        <v>82.089534883720944</v>
      </c>
      <c r="T29" s="6">
        <f t="shared" si="14"/>
        <v>81.051442307692298</v>
      </c>
      <c r="U29" s="6">
        <f t="shared" si="14"/>
        <v>80.51814516129032</v>
      </c>
      <c r="V29" s="36">
        <f t="shared" si="14"/>
        <v>79.846416382252556</v>
      </c>
      <c r="W29" s="6">
        <f t="shared" si="14"/>
        <v>77.228529411764697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I16" sqref="I16"/>
    </sheetView>
  </sheetViews>
  <sheetFormatPr baseColWidth="10" defaultRowHeight="15" x14ac:dyDescent="0.2"/>
  <cols>
    <col min="2" max="2" width="24.83203125" customWidth="1"/>
  </cols>
  <sheetData>
    <row r="1" spans="1:14" x14ac:dyDescent="0.2">
      <c r="A1" s="3" t="s">
        <v>15</v>
      </c>
      <c r="B1" s="3" t="s">
        <v>681</v>
      </c>
      <c r="C1" s="3">
        <v>1920</v>
      </c>
      <c r="D1" s="3">
        <v>1923</v>
      </c>
      <c r="E1" s="3">
        <v>1927</v>
      </c>
      <c r="F1" s="3">
        <v>1930</v>
      </c>
      <c r="I1" s="3">
        <v>1920</v>
      </c>
      <c r="J1" s="3">
        <v>1923</v>
      </c>
      <c r="K1" s="3">
        <v>1927</v>
      </c>
      <c r="L1" s="3">
        <v>1930</v>
      </c>
    </row>
    <row r="2" spans="1:14" ht="16" x14ac:dyDescent="0.2">
      <c r="A2" s="8" t="s">
        <v>208</v>
      </c>
      <c r="B2" s="19" t="s">
        <v>440</v>
      </c>
      <c r="C2" s="1">
        <v>41.8</v>
      </c>
      <c r="D2" s="1">
        <v>44.1</v>
      </c>
      <c r="E2" s="1">
        <v>48.2</v>
      </c>
      <c r="F2" s="1">
        <v>35.700000000000003</v>
      </c>
      <c r="I2" s="1">
        <v>41.8</v>
      </c>
      <c r="J2" s="1">
        <f>(D2*0.15)+D2</f>
        <v>50.715000000000003</v>
      </c>
      <c r="K2" s="1">
        <f>(E2*0.35)+E2</f>
        <v>65.070000000000007</v>
      </c>
      <c r="L2" s="1">
        <f>(F2*0.5)+F2</f>
        <v>53.550000000000004</v>
      </c>
    </row>
    <row r="3" spans="1:14" ht="16" x14ac:dyDescent="0.2">
      <c r="A3" s="8" t="s">
        <v>209</v>
      </c>
      <c r="B3" s="19" t="s">
        <v>437</v>
      </c>
      <c r="C3" s="1">
        <v>36</v>
      </c>
      <c r="D3" s="1">
        <v>39.6</v>
      </c>
      <c r="E3" s="1">
        <v>42.3</v>
      </c>
      <c r="F3" s="1">
        <v>41.1</v>
      </c>
      <c r="I3" s="1">
        <v>36</v>
      </c>
      <c r="J3" s="1">
        <f t="shared" ref="J3:J7" si="0">(D3*0.15)+D3</f>
        <v>45.54</v>
      </c>
      <c r="K3" s="1">
        <f t="shared" ref="K3:K7" si="1">(E3*0.35)+E3</f>
        <v>57.104999999999997</v>
      </c>
      <c r="L3" s="1">
        <f t="shared" ref="L3:L4" si="2">(F3*0.5)+F3</f>
        <v>61.650000000000006</v>
      </c>
    </row>
    <row r="4" spans="1:14" x14ac:dyDescent="0.2">
      <c r="A4" s="8" t="s">
        <v>210</v>
      </c>
      <c r="B4" s="1" t="s">
        <v>682</v>
      </c>
      <c r="C4" s="1">
        <v>13.1</v>
      </c>
      <c r="D4" s="1">
        <v>7.8</v>
      </c>
      <c r="E4" s="1"/>
      <c r="F4" s="1">
        <v>11.6</v>
      </c>
      <c r="I4" s="1">
        <v>13.1</v>
      </c>
      <c r="J4" s="1">
        <f t="shared" si="0"/>
        <v>8.9699999999999989</v>
      </c>
      <c r="K4" s="1"/>
      <c r="L4" s="1">
        <f t="shared" si="2"/>
        <v>17.399999999999999</v>
      </c>
    </row>
    <row r="5" spans="1:14" ht="16" x14ac:dyDescent="0.2">
      <c r="A5" s="18" t="s">
        <v>3</v>
      </c>
      <c r="B5" s="19" t="s">
        <v>683</v>
      </c>
      <c r="C5" s="1"/>
      <c r="D5" s="1"/>
      <c r="E5" s="1"/>
      <c r="F5" s="1">
        <v>6.2</v>
      </c>
      <c r="I5" s="1"/>
      <c r="J5" s="1"/>
      <c r="K5" s="1"/>
      <c r="L5" s="1">
        <v>6.2</v>
      </c>
    </row>
    <row r="6" spans="1:14" ht="16" x14ac:dyDescent="0.2">
      <c r="A6" s="18" t="s">
        <v>245</v>
      </c>
      <c r="B6" s="32" t="s">
        <v>684</v>
      </c>
      <c r="C6" s="1"/>
      <c r="D6" s="1"/>
      <c r="E6" s="1">
        <v>0</v>
      </c>
      <c r="F6" s="1">
        <v>3</v>
      </c>
      <c r="I6" s="1"/>
      <c r="J6" s="1"/>
      <c r="K6" s="1"/>
      <c r="L6" s="1">
        <f>(F6*0.2)+F6</f>
        <v>3.6</v>
      </c>
    </row>
    <row r="7" spans="1:14" ht="16" x14ac:dyDescent="0.2">
      <c r="A7" s="18" t="s">
        <v>441</v>
      </c>
      <c r="B7" s="19" t="s">
        <v>685</v>
      </c>
      <c r="C7" s="1">
        <v>4.2</v>
      </c>
      <c r="D7" s="1">
        <v>3</v>
      </c>
      <c r="E7" s="1">
        <v>6.3</v>
      </c>
      <c r="F7" s="1"/>
      <c r="I7" s="1">
        <v>4.2</v>
      </c>
      <c r="J7" s="1">
        <f t="shared" si="0"/>
        <v>3.45</v>
      </c>
      <c r="K7" s="1">
        <f t="shared" si="1"/>
        <v>8.504999999999999</v>
      </c>
      <c r="L7" s="1"/>
      <c r="N7" s="4"/>
    </row>
    <row r="8" spans="1:14" x14ac:dyDescent="0.2">
      <c r="H8" s="3" t="s">
        <v>14</v>
      </c>
      <c r="I8" s="1">
        <f>SUM(I2:I7)</f>
        <v>95.1</v>
      </c>
      <c r="J8" s="1">
        <f>SUM(J2:J7)</f>
        <v>108.675</v>
      </c>
      <c r="K8" s="1">
        <f t="shared" ref="K8:L8" si="3">SUM(K2:K7)</f>
        <v>130.68</v>
      </c>
      <c r="L8" s="1">
        <f t="shared" si="3"/>
        <v>142.4</v>
      </c>
      <c r="M8" s="1"/>
      <c r="N8" s="5"/>
    </row>
    <row r="9" spans="1:14" x14ac:dyDescent="0.2">
      <c r="I9" s="1"/>
      <c r="J9" s="1"/>
      <c r="K9" s="1"/>
      <c r="L9" s="1"/>
      <c r="M9" s="1"/>
    </row>
    <row r="10" spans="1:14" x14ac:dyDescent="0.2">
      <c r="I10" s="1">
        <v>100</v>
      </c>
      <c r="J10" s="1">
        <v>115</v>
      </c>
      <c r="K10" s="1">
        <v>135</v>
      </c>
      <c r="L10" s="1">
        <v>150</v>
      </c>
      <c r="M10" s="1"/>
    </row>
    <row r="11" spans="1:14" x14ac:dyDescent="0.2">
      <c r="I11" s="1"/>
      <c r="J11" s="1"/>
      <c r="K11" s="1"/>
      <c r="L11" s="1"/>
    </row>
    <row r="12" spans="1:14" x14ac:dyDescent="0.2">
      <c r="I12" s="1">
        <f>I8</f>
        <v>95.1</v>
      </c>
      <c r="J12" s="1">
        <f>SUM(I12+J8)</f>
        <v>203.77499999999998</v>
      </c>
      <c r="K12" s="1">
        <f>SUM(J12+K8)</f>
        <v>334.45499999999998</v>
      </c>
      <c r="L12" s="1">
        <f>SUM(K12+L8)</f>
        <v>476.85500000000002</v>
      </c>
    </row>
    <row r="13" spans="1:14" x14ac:dyDescent="0.2">
      <c r="I13" s="3"/>
      <c r="J13" s="3"/>
      <c r="K13" s="3"/>
      <c r="L13" s="3"/>
    </row>
    <row r="14" spans="1:14" x14ac:dyDescent="0.2">
      <c r="I14" s="1">
        <v>100</v>
      </c>
      <c r="J14" s="1">
        <f>SUM(I14+J10)</f>
        <v>215</v>
      </c>
      <c r="K14" s="1">
        <f>SUM(J14+K10)</f>
        <v>350</v>
      </c>
      <c r="L14" s="1">
        <f>SUM(K14+L10)</f>
        <v>500</v>
      </c>
    </row>
    <row r="15" spans="1:14" ht="16" x14ac:dyDescent="0.2">
      <c r="A15" s="18"/>
      <c r="B15" s="18"/>
      <c r="C15" s="19"/>
    </row>
    <row r="16" spans="1:14" ht="16" x14ac:dyDescent="0.2">
      <c r="A16" s="18"/>
      <c r="B16" s="18"/>
      <c r="C16" s="19"/>
      <c r="I16" s="4" t="s">
        <v>1563</v>
      </c>
      <c r="J16" s="4" t="s">
        <v>1563</v>
      </c>
      <c r="K16" s="4" t="s">
        <v>1563</v>
      </c>
      <c r="L16" s="4" t="s">
        <v>1563</v>
      </c>
    </row>
    <row r="17" spans="1:12" ht="16" x14ac:dyDescent="0.2">
      <c r="A17" s="18"/>
      <c r="B17" s="18"/>
      <c r="C17" s="19"/>
      <c r="I17" s="6">
        <f>(I12/I14)*100</f>
        <v>95.1</v>
      </c>
      <c r="J17" s="6">
        <f>(J12/J14)*100</f>
        <v>94.779069767441854</v>
      </c>
      <c r="K17" s="6">
        <f>(K12/K14)*100</f>
        <v>95.558571428571426</v>
      </c>
      <c r="L17" s="6">
        <f>(L12/L14)*100</f>
        <v>95.371000000000009</v>
      </c>
    </row>
    <row r="18" spans="1:12" ht="16" x14ac:dyDescent="0.2">
      <c r="A18" s="18"/>
      <c r="B18" s="18"/>
      <c r="C18" s="19"/>
    </row>
    <row r="19" spans="1:12" ht="16" x14ac:dyDescent="0.2">
      <c r="A19" s="18"/>
      <c r="B19" s="18"/>
      <c r="C19" s="19"/>
    </row>
    <row r="20" spans="1:12" ht="16" x14ac:dyDescent="0.2">
      <c r="A20" s="18"/>
      <c r="B20" s="18"/>
      <c r="C20" s="1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30"/>
  <sheetViews>
    <sheetView workbookViewId="0">
      <selection activeCell="I22" sqref="I22:N22"/>
    </sheetView>
  </sheetViews>
  <sheetFormatPr baseColWidth="10" defaultRowHeight="15" x14ac:dyDescent="0.2"/>
  <sheetData>
    <row r="1" spans="1:14" x14ac:dyDescent="0.2">
      <c r="A1" s="3" t="s">
        <v>15</v>
      </c>
      <c r="B1" s="3">
        <v>2006</v>
      </c>
      <c r="C1" s="3">
        <v>2009</v>
      </c>
      <c r="D1" s="3">
        <v>2012</v>
      </c>
      <c r="E1" s="3">
        <v>2016</v>
      </c>
      <c r="F1" s="3">
        <v>2020</v>
      </c>
      <c r="G1" s="3">
        <v>2023</v>
      </c>
      <c r="I1" s="3">
        <v>2006</v>
      </c>
      <c r="J1" s="3">
        <v>2009</v>
      </c>
      <c r="K1" s="3">
        <v>2012</v>
      </c>
      <c r="L1" s="3">
        <v>2016</v>
      </c>
      <c r="M1" s="3">
        <v>2020</v>
      </c>
      <c r="N1" s="3">
        <v>2023</v>
      </c>
    </row>
    <row r="2" spans="1:14" x14ac:dyDescent="0.2">
      <c r="A2" s="8" t="s">
        <v>113</v>
      </c>
      <c r="B2" s="1">
        <v>48.6</v>
      </c>
      <c r="C2" s="1">
        <v>51.9</v>
      </c>
      <c r="D2" s="1">
        <v>45.6</v>
      </c>
      <c r="E2" s="1">
        <v>41.4</v>
      </c>
      <c r="F2" s="1">
        <v>35.1</v>
      </c>
      <c r="G2" s="1">
        <v>23.2</v>
      </c>
      <c r="I2" s="1">
        <v>48.6</v>
      </c>
      <c r="J2" s="1">
        <f>(C2*0.15)+C2</f>
        <v>59.684999999999995</v>
      </c>
      <c r="K2" s="1">
        <f>(D2*0.3)+D2</f>
        <v>59.28</v>
      </c>
      <c r="L2" s="1">
        <f>(E2*0.5)+E2</f>
        <v>62.099999999999994</v>
      </c>
      <c r="M2" s="1">
        <f>(F2*0.7)+F2</f>
        <v>59.67</v>
      </c>
      <c r="N2" s="1">
        <f>(G2*0.85)+G2</f>
        <v>42.92</v>
      </c>
    </row>
    <row r="3" spans="1:14" x14ac:dyDescent="0.2">
      <c r="A3" s="8" t="s">
        <v>119</v>
      </c>
      <c r="B3" s="1"/>
      <c r="C3" s="1"/>
      <c r="D3" s="1"/>
      <c r="E3" s="3">
        <v>5.2</v>
      </c>
      <c r="F3" s="1">
        <v>3.1</v>
      </c>
      <c r="G3" s="1">
        <v>3</v>
      </c>
      <c r="I3" s="1"/>
      <c r="J3" s="1"/>
      <c r="K3" s="1"/>
      <c r="L3" s="1">
        <f>(E3*0.5)+E3</f>
        <v>7.8000000000000007</v>
      </c>
      <c r="M3" s="1">
        <f>(F3*0.7)+F3</f>
        <v>5.27</v>
      </c>
      <c r="N3" s="1">
        <f>(G3*0.85)+G3</f>
        <v>5.55</v>
      </c>
    </row>
    <row r="4" spans="1:14" x14ac:dyDescent="0.2">
      <c r="A4" s="8" t="s">
        <v>1516</v>
      </c>
      <c r="B4" s="1"/>
      <c r="C4" s="1"/>
      <c r="D4" s="1"/>
      <c r="E4" s="3"/>
      <c r="F4" s="1"/>
      <c r="G4" s="1">
        <v>25.5</v>
      </c>
      <c r="I4" s="1"/>
      <c r="J4" s="1"/>
      <c r="K4" s="1"/>
      <c r="L4" s="1"/>
      <c r="M4" s="1"/>
      <c r="N4" s="1">
        <v>25.5</v>
      </c>
    </row>
    <row r="5" spans="1:14" x14ac:dyDescent="0.2">
      <c r="A5" s="8" t="s">
        <v>99</v>
      </c>
      <c r="B5" s="1">
        <v>13.1</v>
      </c>
      <c r="C5" s="1">
        <v>6</v>
      </c>
      <c r="F5" s="1"/>
      <c r="G5" s="3">
        <v>0.7</v>
      </c>
      <c r="I5" s="1">
        <v>13.1</v>
      </c>
      <c r="J5" s="1">
        <f t="shared" ref="J5:J6" si="0">(C5*0.15)+C5</f>
        <v>6.9</v>
      </c>
      <c r="K5" s="1"/>
      <c r="L5" s="1"/>
      <c r="N5" s="1">
        <f t="shared" ref="N5:N6" si="1">(G5*0.85)+G5</f>
        <v>1.2949999999999999</v>
      </c>
    </row>
    <row r="6" spans="1:14" x14ac:dyDescent="0.2">
      <c r="A6" s="8" t="s">
        <v>100</v>
      </c>
      <c r="B6" s="1">
        <v>14.1</v>
      </c>
      <c r="C6" s="1">
        <v>16.8</v>
      </c>
      <c r="D6" s="1">
        <v>11.1</v>
      </c>
      <c r="E6" s="1"/>
      <c r="F6" s="1"/>
      <c r="G6" s="3">
        <v>3.1</v>
      </c>
      <c r="I6" s="1">
        <v>14.1</v>
      </c>
      <c r="J6" s="1">
        <f t="shared" si="0"/>
        <v>19.32</v>
      </c>
      <c r="K6" s="1">
        <f t="shared" ref="K6" si="2">(D6*0.3)+D6</f>
        <v>14.43</v>
      </c>
      <c r="L6" s="1"/>
      <c r="N6" s="1">
        <f t="shared" si="1"/>
        <v>5.7349999999999994</v>
      </c>
    </row>
    <row r="7" spans="1:14" x14ac:dyDescent="0.2">
      <c r="A7" s="8" t="s">
        <v>59</v>
      </c>
      <c r="B7" s="1">
        <v>14.7</v>
      </c>
      <c r="F7" s="1"/>
      <c r="G7" s="1"/>
      <c r="I7" s="1">
        <v>14.7</v>
      </c>
      <c r="J7" s="1"/>
      <c r="K7" s="1"/>
      <c r="L7" s="1"/>
    </row>
    <row r="8" spans="1:14" x14ac:dyDescent="0.2">
      <c r="A8" s="8" t="s">
        <v>561</v>
      </c>
      <c r="B8" s="1"/>
      <c r="C8" s="1"/>
      <c r="D8" s="1">
        <v>8.1999999999999993</v>
      </c>
      <c r="E8" s="1">
        <v>1.3</v>
      </c>
      <c r="F8" s="1"/>
      <c r="G8" s="1"/>
      <c r="I8" s="1"/>
      <c r="J8" s="1"/>
      <c r="K8" s="1">
        <v>8.1999999999999993</v>
      </c>
      <c r="L8" s="1">
        <f>(E8*0.2)+E8</f>
        <v>1.56</v>
      </c>
    </row>
    <row r="9" spans="1:14" x14ac:dyDescent="0.2">
      <c r="A9" s="8" t="s">
        <v>1324</v>
      </c>
      <c r="B9" s="1"/>
      <c r="C9" s="1"/>
      <c r="D9" s="1"/>
      <c r="E9" s="1">
        <v>10</v>
      </c>
      <c r="F9" s="1">
        <v>12.5</v>
      </c>
      <c r="G9" s="1">
        <v>12.5</v>
      </c>
      <c r="I9" s="1"/>
      <c r="J9" s="1"/>
      <c r="K9" s="1"/>
      <c r="L9" s="1">
        <v>10</v>
      </c>
      <c r="M9" s="1">
        <f>(F9*0.2)+F9</f>
        <v>15</v>
      </c>
      <c r="N9" s="1">
        <f>(G9*0.35)+G9</f>
        <v>16.875</v>
      </c>
    </row>
    <row r="10" spans="1:14" x14ac:dyDescent="0.2">
      <c r="A10" s="8" t="s">
        <v>149</v>
      </c>
      <c r="B10" s="1"/>
      <c r="C10" s="1"/>
      <c r="D10" s="1"/>
      <c r="E10" s="1">
        <v>3.3</v>
      </c>
      <c r="F10" s="1">
        <v>4.0999999999999996</v>
      </c>
      <c r="G10" s="1"/>
      <c r="I10" s="1"/>
      <c r="J10" s="1"/>
      <c r="K10" s="1"/>
      <c r="L10" s="1">
        <v>3.3</v>
      </c>
      <c r="M10" s="1">
        <f t="shared" ref="M10:M11" si="3">(F10*0.2)+F10</f>
        <v>4.92</v>
      </c>
      <c r="N10" s="1"/>
    </row>
    <row r="11" spans="1:14" x14ac:dyDescent="0.2">
      <c r="A11" s="8" t="s">
        <v>1425</v>
      </c>
      <c r="B11" s="1"/>
      <c r="C11" s="1"/>
      <c r="D11" s="1"/>
      <c r="E11" s="1">
        <v>11.1</v>
      </c>
      <c r="F11" s="1">
        <v>5.5</v>
      </c>
      <c r="G11" s="1"/>
      <c r="I11" s="1"/>
      <c r="J11" s="1"/>
      <c r="K11" s="1"/>
      <c r="L11" s="1">
        <v>11.1</v>
      </c>
      <c r="M11" s="1">
        <f t="shared" si="3"/>
        <v>6.6</v>
      </c>
      <c r="N11" s="1"/>
    </row>
    <row r="12" spans="1:14" x14ac:dyDescent="0.2">
      <c r="A12" s="8" t="s">
        <v>1424</v>
      </c>
      <c r="B12" s="1"/>
      <c r="C12" s="1">
        <v>9.1999999999999993</v>
      </c>
      <c r="D12" s="1">
        <v>22.8</v>
      </c>
      <c r="E12" s="1">
        <v>20.3</v>
      </c>
      <c r="F12" s="1">
        <v>32.6</v>
      </c>
      <c r="G12" s="1">
        <v>14.7</v>
      </c>
      <c r="I12" s="1"/>
      <c r="J12" s="1">
        <v>9.1999999999999993</v>
      </c>
      <c r="K12" s="1">
        <f>(D12*0.15)+D12</f>
        <v>26.22</v>
      </c>
      <c r="L12" s="1">
        <f>(E12*0.35)+E12</f>
        <v>27.405000000000001</v>
      </c>
      <c r="M12" s="1">
        <f>(F12*0.55)+F12</f>
        <v>50.53</v>
      </c>
      <c r="N12" s="1">
        <f>(G12*0.7)+G12</f>
        <v>24.99</v>
      </c>
    </row>
    <row r="13" spans="1:14" x14ac:dyDescent="0.2">
      <c r="A13" s="8" t="s">
        <v>98</v>
      </c>
      <c r="B13" s="1">
        <v>3.8</v>
      </c>
      <c r="C13" s="1"/>
      <c r="D13" s="1">
        <v>4.2</v>
      </c>
      <c r="E13" s="1">
        <v>3.2</v>
      </c>
      <c r="F13" s="1">
        <v>4</v>
      </c>
      <c r="G13" s="1">
        <v>7.1</v>
      </c>
      <c r="I13" s="1">
        <v>3.8</v>
      </c>
      <c r="J13" s="1"/>
      <c r="K13" s="1">
        <f>(D13*0.3)+D13</f>
        <v>5.46</v>
      </c>
      <c r="L13" s="1">
        <f>(E13*0.5)+E13</f>
        <v>4.8000000000000007</v>
      </c>
      <c r="M13" s="1">
        <f>(F13*0.7)+F13</f>
        <v>6.8</v>
      </c>
      <c r="N13" s="1">
        <f>(G13*0.85)+G13</f>
        <v>13.134999999999998</v>
      </c>
    </row>
    <row r="14" spans="1:14" x14ac:dyDescent="0.2">
      <c r="H14" s="3" t="s">
        <v>14</v>
      </c>
      <c r="I14" s="1">
        <f t="shared" ref="I14:N14" si="4">SUM(I2:I13)</f>
        <v>94.3</v>
      </c>
      <c r="J14" s="1">
        <f t="shared" si="4"/>
        <v>95.105000000000004</v>
      </c>
      <c r="K14" s="1">
        <f t="shared" si="4"/>
        <v>113.59</v>
      </c>
      <c r="L14" s="1">
        <f t="shared" si="4"/>
        <v>128.065</v>
      </c>
      <c r="M14" s="1">
        <f t="shared" si="4"/>
        <v>148.79000000000002</v>
      </c>
      <c r="N14" s="1">
        <f t="shared" si="4"/>
        <v>136</v>
      </c>
    </row>
    <row r="15" spans="1:14" x14ac:dyDescent="0.2">
      <c r="I15" s="1"/>
      <c r="J15" s="1"/>
      <c r="K15" s="1"/>
      <c r="L15" s="1"/>
      <c r="M15" s="1"/>
    </row>
    <row r="16" spans="1:14" x14ac:dyDescent="0.2">
      <c r="I16" s="1">
        <v>100</v>
      </c>
      <c r="J16" s="1">
        <v>115</v>
      </c>
      <c r="K16" s="1">
        <v>130</v>
      </c>
      <c r="L16" s="1">
        <v>150</v>
      </c>
      <c r="M16" s="1">
        <v>170</v>
      </c>
      <c r="N16" s="1">
        <v>185</v>
      </c>
    </row>
    <row r="18" spans="1:14" x14ac:dyDescent="0.2">
      <c r="I18" s="1">
        <f>I14</f>
        <v>94.3</v>
      </c>
      <c r="J18" s="1">
        <f>SUM(I18+J14)</f>
        <v>189.405</v>
      </c>
      <c r="K18" s="1">
        <f>SUM(J18+K14)</f>
        <v>302.995</v>
      </c>
      <c r="L18" s="1">
        <f>SUM(K18+L14)</f>
        <v>431.06</v>
      </c>
      <c r="M18" s="1">
        <f>SUM(L18+M14)</f>
        <v>579.85</v>
      </c>
      <c r="N18" s="1">
        <f>SUM(M18+N14)</f>
        <v>715.85</v>
      </c>
    </row>
    <row r="19" spans="1:14" x14ac:dyDescent="0.2">
      <c r="I19" s="3"/>
      <c r="J19" s="3"/>
      <c r="K19" s="3"/>
      <c r="L19" s="3"/>
    </row>
    <row r="20" spans="1:14" x14ac:dyDescent="0.2">
      <c r="I20" s="1">
        <v>100</v>
      </c>
      <c r="J20" s="1">
        <f>SUM(I20+J16)</f>
        <v>215</v>
      </c>
      <c r="K20" s="1">
        <f>SUM(J20+K16)</f>
        <v>345</v>
      </c>
      <c r="L20" s="1">
        <f>SUM(K20+L16)</f>
        <v>495</v>
      </c>
      <c r="M20" s="1">
        <f>SUM(L20+M16)</f>
        <v>665</v>
      </c>
      <c r="N20" s="1">
        <f>SUM(M20+N16)</f>
        <v>850</v>
      </c>
    </row>
    <row r="22" spans="1:14" ht="16" x14ac:dyDescent="0.2">
      <c r="A22" s="15"/>
      <c r="B22" s="16"/>
      <c r="C22" s="16"/>
      <c r="I22" s="4" t="s">
        <v>1563</v>
      </c>
      <c r="J22" s="4" t="s">
        <v>1563</v>
      </c>
      <c r="K22" s="4" t="s">
        <v>1563</v>
      </c>
      <c r="L22" s="4" t="s">
        <v>1563</v>
      </c>
      <c r="M22" s="4" t="s">
        <v>1563</v>
      </c>
      <c r="N22" s="4" t="s">
        <v>1563</v>
      </c>
    </row>
    <row r="23" spans="1:14" ht="16" x14ac:dyDescent="0.2">
      <c r="A23" s="15"/>
      <c r="B23" s="16"/>
      <c r="C23" s="16"/>
      <c r="I23" s="6">
        <f t="shared" ref="I23:N23" si="5">(I18/I20)*100</f>
        <v>94.3</v>
      </c>
      <c r="J23" s="6">
        <f t="shared" si="5"/>
        <v>88.095348837209301</v>
      </c>
      <c r="K23" s="6">
        <f t="shared" si="5"/>
        <v>87.82463768115943</v>
      </c>
      <c r="L23" s="6">
        <f t="shared" si="5"/>
        <v>87.082828282828288</v>
      </c>
      <c r="M23" s="6">
        <f t="shared" si="5"/>
        <v>87.195488721804509</v>
      </c>
      <c r="N23" s="6">
        <f t="shared" si="5"/>
        <v>84.21764705882353</v>
      </c>
    </row>
    <row r="24" spans="1:14" ht="16" x14ac:dyDescent="0.2">
      <c r="A24" s="15"/>
      <c r="B24" s="16"/>
      <c r="C24" s="16"/>
    </row>
    <row r="25" spans="1:14" ht="16" x14ac:dyDescent="0.2">
      <c r="A25" s="15"/>
      <c r="B25" s="16"/>
      <c r="C25" s="16"/>
    </row>
    <row r="26" spans="1:14" ht="16" x14ac:dyDescent="0.2">
      <c r="A26" s="15"/>
      <c r="B26" s="16"/>
      <c r="C26" s="16"/>
    </row>
    <row r="27" spans="1:14" ht="16" x14ac:dyDescent="0.2">
      <c r="A27" s="15"/>
      <c r="B27" s="16"/>
      <c r="C27" s="16"/>
    </row>
    <row r="28" spans="1:14" ht="16" x14ac:dyDescent="0.2">
      <c r="A28" s="15"/>
      <c r="B28" s="16"/>
      <c r="C28" s="16"/>
    </row>
    <row r="29" spans="1:14" ht="16" x14ac:dyDescent="0.2">
      <c r="A29" s="15"/>
      <c r="B29" s="16"/>
      <c r="C29" s="16"/>
    </row>
    <row r="30" spans="1:14" ht="16" x14ac:dyDescent="0.2">
      <c r="A30" s="15"/>
      <c r="B30" s="16"/>
      <c r="C30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K61"/>
  <sheetViews>
    <sheetView topLeftCell="X25" workbookViewId="0">
      <selection activeCell="AH39" sqref="AH39:BK39"/>
    </sheetView>
  </sheetViews>
  <sheetFormatPr baseColWidth="10" defaultRowHeight="15" x14ac:dyDescent="0.2"/>
  <cols>
    <col min="2" max="2" width="40.83203125" customWidth="1"/>
  </cols>
  <sheetData>
    <row r="1" spans="1:63" ht="16" x14ac:dyDescent="0.2">
      <c r="A1" s="3" t="s">
        <v>15</v>
      </c>
      <c r="B1" s="24" t="s">
        <v>681</v>
      </c>
      <c r="C1" s="3">
        <v>1918</v>
      </c>
      <c r="D1" s="3">
        <v>1922</v>
      </c>
      <c r="E1" s="3">
        <v>1925</v>
      </c>
      <c r="F1" s="3">
        <v>1929</v>
      </c>
      <c r="G1" s="3">
        <v>1933</v>
      </c>
      <c r="H1" s="3">
        <v>1937</v>
      </c>
      <c r="I1" s="3">
        <v>1946</v>
      </c>
      <c r="J1" s="3">
        <v>1948</v>
      </c>
      <c r="K1" s="3">
        <v>1952</v>
      </c>
      <c r="L1" s="3">
        <v>1956</v>
      </c>
      <c r="M1" s="3">
        <v>1959</v>
      </c>
      <c r="N1" s="3">
        <v>1963</v>
      </c>
      <c r="O1" s="3">
        <v>1967</v>
      </c>
      <c r="P1" s="3">
        <v>1971</v>
      </c>
      <c r="Q1" s="3">
        <v>1972</v>
      </c>
      <c r="R1" s="3">
        <v>1977</v>
      </c>
      <c r="S1" s="3">
        <v>1981</v>
      </c>
      <c r="T1" s="3">
        <v>1982</v>
      </c>
      <c r="U1" s="3">
        <v>1986</v>
      </c>
      <c r="V1" s="3">
        <v>1989</v>
      </c>
      <c r="W1" s="3">
        <v>1994</v>
      </c>
      <c r="X1" s="3">
        <v>1998</v>
      </c>
      <c r="Y1" s="3">
        <v>2002</v>
      </c>
      <c r="Z1" s="3">
        <v>2003</v>
      </c>
      <c r="AA1" s="3">
        <v>2006</v>
      </c>
      <c r="AB1" s="3">
        <v>2010</v>
      </c>
      <c r="AC1" s="3">
        <v>2012</v>
      </c>
      <c r="AD1" s="3">
        <v>2017</v>
      </c>
      <c r="AE1" s="3">
        <v>2021</v>
      </c>
      <c r="AF1" s="3">
        <v>2023</v>
      </c>
      <c r="AH1" s="3">
        <v>1918</v>
      </c>
      <c r="AI1" s="3">
        <v>1922</v>
      </c>
      <c r="AJ1" s="3">
        <v>1925</v>
      </c>
      <c r="AK1" s="3">
        <v>1929</v>
      </c>
      <c r="AL1" s="3">
        <v>1933</v>
      </c>
      <c r="AM1" s="3">
        <v>1937</v>
      </c>
      <c r="AN1" s="3">
        <v>1946</v>
      </c>
      <c r="AO1" s="3">
        <v>1948</v>
      </c>
      <c r="AP1" s="3">
        <v>1952</v>
      </c>
      <c r="AQ1" s="3">
        <v>1956</v>
      </c>
      <c r="AR1" s="3">
        <v>1959</v>
      </c>
      <c r="AS1" s="3">
        <v>1963</v>
      </c>
      <c r="AT1" s="3">
        <v>1967</v>
      </c>
      <c r="AU1" s="3">
        <v>1971</v>
      </c>
      <c r="AV1" s="3">
        <v>1972</v>
      </c>
      <c r="AW1" s="3">
        <v>1977</v>
      </c>
      <c r="AX1" s="3">
        <v>1981</v>
      </c>
      <c r="AY1" s="3">
        <v>1982</v>
      </c>
      <c r="AZ1" s="3">
        <v>1986</v>
      </c>
      <c r="BA1" s="3">
        <v>1989</v>
      </c>
      <c r="BB1" s="3">
        <v>1994</v>
      </c>
      <c r="BC1" s="3">
        <v>1998</v>
      </c>
      <c r="BD1" s="3">
        <v>2002</v>
      </c>
      <c r="BE1" s="3">
        <v>2003</v>
      </c>
      <c r="BF1" s="3">
        <v>2006</v>
      </c>
      <c r="BG1" s="3">
        <v>2010</v>
      </c>
      <c r="BH1" s="3">
        <v>2012</v>
      </c>
      <c r="BI1" s="3">
        <v>2017</v>
      </c>
      <c r="BJ1" s="3">
        <v>2021</v>
      </c>
      <c r="BK1" s="3">
        <v>2023</v>
      </c>
    </row>
    <row r="2" spans="1:63" ht="16" x14ac:dyDescent="0.2">
      <c r="A2" s="8" t="s">
        <v>290</v>
      </c>
      <c r="B2" s="16" t="s">
        <v>928</v>
      </c>
      <c r="C2" s="1">
        <v>30</v>
      </c>
      <c r="D2" s="1">
        <v>29.9</v>
      </c>
      <c r="E2" s="1">
        <v>28.6</v>
      </c>
      <c r="F2" s="1">
        <v>29.6</v>
      </c>
      <c r="G2" s="1">
        <v>27.9</v>
      </c>
      <c r="H2" s="1">
        <v>28.8</v>
      </c>
      <c r="I2" s="1">
        <v>30.8</v>
      </c>
      <c r="J2" s="1">
        <v>31</v>
      </c>
      <c r="K2" s="1">
        <v>28.7</v>
      </c>
      <c r="L2" s="1">
        <v>31.7</v>
      </c>
      <c r="M2" s="1">
        <v>31.6</v>
      </c>
      <c r="N2" s="1">
        <v>31.9</v>
      </c>
      <c r="O2" s="1">
        <v>26.5</v>
      </c>
      <c r="P2" s="1">
        <v>21.8</v>
      </c>
      <c r="Q2" s="1">
        <v>17.7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G2" s="8"/>
      <c r="AH2" s="1">
        <v>30</v>
      </c>
      <c r="AI2" s="1">
        <f t="shared" ref="AI2:AI7" si="0">(D2*0.2)+D2</f>
        <v>35.879999999999995</v>
      </c>
      <c r="AJ2" s="1">
        <f>(E2*0.35)+E2</f>
        <v>38.61</v>
      </c>
      <c r="AK2" s="1">
        <f>(F2*0.55)+F2</f>
        <v>45.88</v>
      </c>
      <c r="AL2" s="1">
        <f>(G2*0.75)+G2</f>
        <v>48.824999999999996</v>
      </c>
      <c r="AM2" s="1">
        <f>(H2*0.95)+H2</f>
        <v>56.16</v>
      </c>
      <c r="AN2" s="1">
        <f>(I2*1.4)+I2</f>
        <v>73.92</v>
      </c>
      <c r="AO2" s="1">
        <f>(J2*1.5)+J2</f>
        <v>77.5</v>
      </c>
      <c r="AP2" s="1">
        <f>(K2*1.7)+K2</f>
        <v>77.489999999999995</v>
      </c>
      <c r="AQ2" s="1">
        <f>(L2*1.9)+L2</f>
        <v>91.929999999999993</v>
      </c>
      <c r="AR2" s="1">
        <f>(M2*2.05)+M2</f>
        <v>96.38</v>
      </c>
      <c r="AS2" s="1">
        <f>(N2*2.25)+N2</f>
        <v>103.67499999999998</v>
      </c>
      <c r="AT2" s="1">
        <f>(O2*2.45)+O2</f>
        <v>91.425000000000011</v>
      </c>
      <c r="AU2" s="1">
        <f>(P2*2.65)+P2</f>
        <v>79.570000000000007</v>
      </c>
      <c r="AV2" s="1">
        <f>(Q2*2.7)+Q2</f>
        <v>65.489999999999995</v>
      </c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3" ht="16" x14ac:dyDescent="0.2">
      <c r="A3" s="8" t="s">
        <v>291</v>
      </c>
      <c r="B3" s="16" t="s">
        <v>907</v>
      </c>
      <c r="C3" s="1">
        <v>22</v>
      </c>
      <c r="D3" s="1">
        <v>19.399999999999999</v>
      </c>
      <c r="E3" s="1">
        <v>22.9</v>
      </c>
      <c r="F3" s="1">
        <v>23.8</v>
      </c>
      <c r="G3" s="1">
        <v>21.5</v>
      </c>
      <c r="H3" s="1">
        <v>21.9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G3" s="8"/>
      <c r="AH3" s="1">
        <v>22</v>
      </c>
      <c r="AI3" s="1">
        <f t="shared" si="0"/>
        <v>23.279999999999998</v>
      </c>
      <c r="AJ3" s="1">
        <f t="shared" ref="AJ3:AJ7" si="1">(E3*0.35)+E3</f>
        <v>30.914999999999999</v>
      </c>
      <c r="AK3" s="1">
        <f t="shared" ref="AK3:AK7" si="2">(F3*0.55)+F3</f>
        <v>36.89</v>
      </c>
      <c r="AL3" s="1">
        <f t="shared" ref="AL3:AL7" si="3">(G3*0.75)+G3</f>
        <v>37.625</v>
      </c>
      <c r="AM3" s="1">
        <f t="shared" ref="AM3:AM7" si="4">(H3*0.95)+H3</f>
        <v>42.704999999999998</v>
      </c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3" ht="16" x14ac:dyDescent="0.2">
      <c r="A4" s="8" t="s">
        <v>292</v>
      </c>
      <c r="B4" s="16" t="s">
        <v>908</v>
      </c>
      <c r="C4" s="1">
        <v>13.4</v>
      </c>
      <c r="D4" s="1">
        <v>13.7</v>
      </c>
      <c r="E4" s="1">
        <v>12.2</v>
      </c>
      <c r="F4" s="1">
        <v>11.6</v>
      </c>
      <c r="G4" s="1">
        <v>13.4</v>
      </c>
      <c r="H4" s="1">
        <v>16.399999999999999</v>
      </c>
      <c r="I4" s="1">
        <v>12.9</v>
      </c>
      <c r="J4" s="1">
        <v>13.2</v>
      </c>
      <c r="K4" s="1">
        <v>11.3</v>
      </c>
      <c r="L4" s="1">
        <v>9.9</v>
      </c>
      <c r="M4" s="1">
        <v>9.4</v>
      </c>
      <c r="N4" s="1">
        <v>8.6999999999999993</v>
      </c>
      <c r="O4" s="1">
        <v>9.9</v>
      </c>
      <c r="P4" s="1">
        <v>8.6</v>
      </c>
      <c r="Q4" s="1">
        <v>8.8000000000000007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G4" s="8"/>
      <c r="AH4" s="1">
        <v>13.4</v>
      </c>
      <c r="AI4" s="1">
        <f t="shared" si="0"/>
        <v>16.439999999999998</v>
      </c>
      <c r="AJ4" s="1">
        <f t="shared" si="1"/>
        <v>16.47</v>
      </c>
      <c r="AK4" s="1">
        <f t="shared" si="2"/>
        <v>17.98</v>
      </c>
      <c r="AL4" s="1">
        <f t="shared" si="3"/>
        <v>23.450000000000003</v>
      </c>
      <c r="AM4" s="1">
        <f t="shared" si="4"/>
        <v>31.979999999999997</v>
      </c>
      <c r="AN4" s="1">
        <f t="shared" ref="AN4:AN7" si="5">(I4*1.4)+I4</f>
        <v>30.96</v>
      </c>
      <c r="AO4" s="1">
        <f t="shared" ref="AO4:AO7" si="6">(J4*1.5)+J4</f>
        <v>33</v>
      </c>
      <c r="AP4" s="1">
        <f t="shared" ref="AP4:AP7" si="7">(K4*1.7)+K4</f>
        <v>30.51</v>
      </c>
      <c r="AQ4" s="1">
        <f t="shared" ref="AQ4:AQ7" si="8">(L4*1.9)+L4</f>
        <v>28.71</v>
      </c>
      <c r="AR4" s="1">
        <f t="shared" ref="AR4:AR7" si="9">(M4*2.05)+M4</f>
        <v>28.67</v>
      </c>
      <c r="AS4" s="1">
        <f t="shared" ref="AS4:AS7" si="10">(N4*2.25)+N4</f>
        <v>28.274999999999999</v>
      </c>
      <c r="AT4" s="1">
        <f t="shared" ref="AT4:AT7" si="11">(O4*2.45)+O4</f>
        <v>34.155000000000001</v>
      </c>
      <c r="AU4" s="1">
        <f t="shared" ref="AU4:AU7" si="12">(P4*2.65)+P4</f>
        <v>31.39</v>
      </c>
      <c r="AV4" s="1">
        <f t="shared" ref="AV4:AV7" si="13">(Q4*2.7)+Q4</f>
        <v>32.56</v>
      </c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3" ht="16" x14ac:dyDescent="0.2">
      <c r="A5" s="8" t="s">
        <v>293</v>
      </c>
      <c r="B5" s="16" t="s">
        <v>909</v>
      </c>
      <c r="C5" s="1">
        <v>6.5</v>
      </c>
      <c r="D5" s="1">
        <v>10.9</v>
      </c>
      <c r="E5" s="1">
        <v>9.9</v>
      </c>
      <c r="F5" s="1">
        <v>10.5</v>
      </c>
      <c r="G5" s="1">
        <v>9.1</v>
      </c>
      <c r="H5" s="1">
        <v>7.5</v>
      </c>
      <c r="I5" s="1">
        <v>7.8</v>
      </c>
      <c r="J5" s="1">
        <v>9.1999999999999993</v>
      </c>
      <c r="K5" s="1">
        <v>8.9</v>
      </c>
      <c r="L5" s="1">
        <v>8.4</v>
      </c>
      <c r="M5" s="1">
        <v>8.1</v>
      </c>
      <c r="N5" s="1">
        <v>8.6</v>
      </c>
      <c r="O5" s="1">
        <v>8.1</v>
      </c>
      <c r="P5" s="1">
        <v>6.3</v>
      </c>
      <c r="Q5" s="1">
        <v>4.8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G5" s="8"/>
      <c r="AH5" s="1">
        <v>6.5</v>
      </c>
      <c r="AI5" s="1">
        <f t="shared" si="0"/>
        <v>13.08</v>
      </c>
      <c r="AJ5" s="1">
        <f t="shared" si="1"/>
        <v>13.365</v>
      </c>
      <c r="AK5" s="1">
        <f t="shared" si="2"/>
        <v>16.274999999999999</v>
      </c>
      <c r="AL5" s="1">
        <f t="shared" si="3"/>
        <v>15.924999999999999</v>
      </c>
      <c r="AM5" s="1">
        <f t="shared" si="4"/>
        <v>14.625</v>
      </c>
      <c r="AN5" s="1">
        <f t="shared" si="5"/>
        <v>18.72</v>
      </c>
      <c r="AO5" s="1">
        <f t="shared" si="6"/>
        <v>23</v>
      </c>
      <c r="AP5" s="1">
        <f t="shared" si="7"/>
        <v>24.03</v>
      </c>
      <c r="AQ5" s="1">
        <f t="shared" si="8"/>
        <v>24.36</v>
      </c>
      <c r="AR5" s="1">
        <f t="shared" si="9"/>
        <v>24.704999999999998</v>
      </c>
      <c r="AS5" s="1">
        <f t="shared" si="10"/>
        <v>27.949999999999996</v>
      </c>
      <c r="AT5" s="1">
        <f t="shared" si="11"/>
        <v>27.945</v>
      </c>
      <c r="AU5" s="1">
        <f t="shared" si="12"/>
        <v>22.995000000000001</v>
      </c>
      <c r="AV5" s="1">
        <f t="shared" si="13"/>
        <v>17.760000000000002</v>
      </c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3" ht="16" x14ac:dyDescent="0.2">
      <c r="A6" s="8" t="s">
        <v>294</v>
      </c>
      <c r="B6" s="16" t="s">
        <v>910</v>
      </c>
      <c r="C6" s="1">
        <v>5.3</v>
      </c>
      <c r="D6" s="1">
        <v>4.5999999999999996</v>
      </c>
      <c r="E6" s="1">
        <v>6.1</v>
      </c>
      <c r="F6" s="1">
        <v>6.2</v>
      </c>
      <c r="G6" s="1">
        <v>5.0999999999999996</v>
      </c>
      <c r="H6" s="1">
        <v>5.9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G6" s="8"/>
      <c r="AH6" s="1">
        <v>5.3</v>
      </c>
      <c r="AI6" s="1">
        <f t="shared" si="0"/>
        <v>5.52</v>
      </c>
      <c r="AJ6" s="1">
        <f t="shared" si="1"/>
        <v>8.2349999999999994</v>
      </c>
      <c r="AK6" s="1">
        <f t="shared" si="2"/>
        <v>9.6100000000000012</v>
      </c>
      <c r="AL6" s="1">
        <f t="shared" si="3"/>
        <v>8.9249999999999989</v>
      </c>
      <c r="AM6" s="1">
        <f t="shared" si="4"/>
        <v>11.505000000000001</v>
      </c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3" ht="16" x14ac:dyDescent="0.2">
      <c r="A7" s="8" t="s">
        <v>68</v>
      </c>
      <c r="B7" s="16" t="s">
        <v>911</v>
      </c>
      <c r="C7" s="1">
        <v>2.2999999999999998</v>
      </c>
      <c r="D7" s="1">
        <v>1.8</v>
      </c>
      <c r="E7" s="1">
        <v>1.2</v>
      </c>
      <c r="F7" s="1">
        <v>2</v>
      </c>
      <c r="G7" s="1">
        <v>3.2</v>
      </c>
      <c r="H7" s="1">
        <v>3.4</v>
      </c>
      <c r="I7" s="1">
        <v>10.6</v>
      </c>
      <c r="J7" s="1">
        <v>7.7</v>
      </c>
      <c r="K7" s="1">
        <v>6.2</v>
      </c>
      <c r="L7" s="1">
        <v>4.7</v>
      </c>
      <c r="M7" s="1">
        <v>2.4</v>
      </c>
      <c r="N7" s="1">
        <v>2.8</v>
      </c>
      <c r="O7" s="1">
        <v>3.6</v>
      </c>
      <c r="P7" s="1">
        <v>3.9</v>
      </c>
      <c r="Q7" s="1">
        <v>4.5</v>
      </c>
      <c r="R7" s="1">
        <v>1.7</v>
      </c>
      <c r="S7" s="1">
        <v>2.1</v>
      </c>
      <c r="T7" s="1">
        <v>1.8</v>
      </c>
      <c r="U7" s="1">
        <v>0.6</v>
      </c>
      <c r="V7" s="1"/>
      <c r="W7" s="1"/>
      <c r="X7" s="1"/>
      <c r="Y7" s="1"/>
      <c r="Z7" s="1"/>
      <c r="AA7" s="1"/>
      <c r="AB7" s="1"/>
      <c r="AC7" s="1"/>
      <c r="AD7" s="1"/>
      <c r="AG7" s="8"/>
      <c r="AH7" s="1">
        <v>2.2999999999999998</v>
      </c>
      <c r="AI7" s="1">
        <f t="shared" si="0"/>
        <v>2.16</v>
      </c>
      <c r="AJ7" s="1">
        <f t="shared" si="1"/>
        <v>1.6199999999999999</v>
      </c>
      <c r="AK7" s="1">
        <f t="shared" si="2"/>
        <v>3.1</v>
      </c>
      <c r="AL7" s="1">
        <f t="shared" si="3"/>
        <v>5.6000000000000005</v>
      </c>
      <c r="AM7" s="1">
        <f t="shared" si="4"/>
        <v>6.63</v>
      </c>
      <c r="AN7" s="1">
        <f t="shared" si="5"/>
        <v>25.439999999999998</v>
      </c>
      <c r="AO7" s="1">
        <f t="shared" si="6"/>
        <v>19.25</v>
      </c>
      <c r="AP7" s="1">
        <f t="shared" si="7"/>
        <v>16.739999999999998</v>
      </c>
      <c r="AQ7" s="1">
        <f t="shared" si="8"/>
        <v>13.629999999999999</v>
      </c>
      <c r="AR7" s="1">
        <f t="shared" si="9"/>
        <v>7.3199999999999985</v>
      </c>
      <c r="AS7" s="1">
        <f t="shared" si="10"/>
        <v>9.1</v>
      </c>
      <c r="AT7" s="1">
        <f t="shared" si="11"/>
        <v>12.42</v>
      </c>
      <c r="AU7" s="1">
        <f t="shared" si="12"/>
        <v>14.234999999999999</v>
      </c>
      <c r="AV7" s="1">
        <f t="shared" si="13"/>
        <v>16.649999999999999</v>
      </c>
      <c r="AW7" s="1">
        <f>(R7*2.95)+R7</f>
        <v>6.7150000000000007</v>
      </c>
      <c r="AX7" s="1">
        <f>(S7*3.15)+S7</f>
        <v>8.7149999999999999</v>
      </c>
      <c r="AY7" s="1">
        <f>(T7*3.2)+T7</f>
        <v>7.5600000000000005</v>
      </c>
      <c r="AZ7" s="1">
        <f>(U7*3.4)+U7</f>
        <v>2.64</v>
      </c>
      <c r="BA7" s="1"/>
      <c r="BB7" s="1"/>
      <c r="BC7" s="1"/>
      <c r="BD7" s="1"/>
      <c r="BE7" s="1"/>
      <c r="BF7" s="1"/>
      <c r="BG7" s="1"/>
      <c r="BH7" s="1"/>
      <c r="BI7" s="1"/>
    </row>
    <row r="8" spans="1:63" ht="16" x14ac:dyDescent="0.2">
      <c r="A8" s="8" t="s">
        <v>380</v>
      </c>
      <c r="B8" s="16" t="s">
        <v>912</v>
      </c>
      <c r="C8" s="1"/>
      <c r="D8" s="1">
        <v>9.3000000000000007</v>
      </c>
      <c r="E8" s="1">
        <v>8.6999999999999993</v>
      </c>
      <c r="F8" s="1">
        <v>7.4</v>
      </c>
      <c r="G8" s="1">
        <v>7</v>
      </c>
      <c r="H8" s="1">
        <v>3.9</v>
      </c>
      <c r="I8" s="1">
        <v>6.4</v>
      </c>
      <c r="J8" s="1">
        <v>7.9</v>
      </c>
      <c r="K8" s="1">
        <v>8.8000000000000007</v>
      </c>
      <c r="L8" s="1">
        <v>8.8000000000000007</v>
      </c>
      <c r="M8" s="1">
        <v>12.2</v>
      </c>
      <c r="N8" s="1">
        <v>10.3</v>
      </c>
      <c r="O8" s="1">
        <v>10.7</v>
      </c>
      <c r="P8" s="1">
        <v>10.3</v>
      </c>
      <c r="Q8" s="1">
        <v>14.4</v>
      </c>
      <c r="R8" s="1">
        <v>17.899999999999999</v>
      </c>
      <c r="S8" s="1">
        <v>17.3</v>
      </c>
      <c r="T8" s="1">
        <v>23.1</v>
      </c>
      <c r="U8" s="1">
        <v>17.399999999999999</v>
      </c>
      <c r="V8" s="1">
        <v>14.6</v>
      </c>
      <c r="W8" s="1">
        <v>20</v>
      </c>
      <c r="X8" s="1">
        <v>24.7</v>
      </c>
      <c r="Y8" s="1">
        <v>15.4</v>
      </c>
      <c r="Z8" s="1">
        <v>17.899999999999999</v>
      </c>
      <c r="AA8" s="1">
        <v>14.7</v>
      </c>
      <c r="AB8" s="1">
        <v>20.5</v>
      </c>
      <c r="AC8" s="1">
        <v>26.6</v>
      </c>
      <c r="AD8" s="1">
        <v>21.3</v>
      </c>
      <c r="AE8" s="1">
        <v>21.9</v>
      </c>
      <c r="AF8" s="1">
        <v>15.2</v>
      </c>
      <c r="AG8" s="8"/>
      <c r="AH8" s="1"/>
      <c r="AI8" s="1">
        <v>9.3000000000000007</v>
      </c>
      <c r="AJ8" s="1">
        <f>(E8*0.15)+E8</f>
        <v>10.004999999999999</v>
      </c>
      <c r="AK8" s="1">
        <f>(F8*0.35)+F8</f>
        <v>9.99</v>
      </c>
      <c r="AL8" s="1">
        <f>(G8*0.55)+G8</f>
        <v>10.850000000000001</v>
      </c>
      <c r="AM8" s="1">
        <f>(H8*0.75)+H8</f>
        <v>6.8249999999999993</v>
      </c>
      <c r="AN8" s="1">
        <f>(I8*1.2)+I8</f>
        <v>14.08</v>
      </c>
      <c r="AO8" s="1">
        <f>(J8*1.3)+J8</f>
        <v>18.170000000000002</v>
      </c>
      <c r="AP8" s="1">
        <f>(K8*1.5)+K8</f>
        <v>22</v>
      </c>
      <c r="AQ8" s="1">
        <f>(L8*1.7)+L8</f>
        <v>23.76</v>
      </c>
      <c r="AR8" s="1">
        <f>(M8*1.85)+M8</f>
        <v>34.769999999999996</v>
      </c>
      <c r="AS8" s="1">
        <f>(N8*2.05)+N8</f>
        <v>31.414999999999999</v>
      </c>
      <c r="AT8" s="1">
        <f>(O8*2.25)+O8</f>
        <v>34.774999999999999</v>
      </c>
      <c r="AU8" s="1">
        <f>(P8*2.45)+P8</f>
        <v>35.535000000000004</v>
      </c>
      <c r="AV8" s="1">
        <f>(Q8*2.5)+Q8</f>
        <v>50.4</v>
      </c>
      <c r="AW8" s="3">
        <f>(R8*2.75)+R8</f>
        <v>67.125</v>
      </c>
      <c r="AX8" s="1">
        <f>(S8*2.95)+S8</f>
        <v>68.335000000000008</v>
      </c>
      <c r="AY8" s="1">
        <f>(T8*3)+T8</f>
        <v>92.4</v>
      </c>
      <c r="AZ8" s="1">
        <f>(U8*3.2)+U8</f>
        <v>73.08</v>
      </c>
      <c r="BA8" s="1">
        <f>(V8*3.35)+V8</f>
        <v>63.51</v>
      </c>
      <c r="BB8" s="1">
        <f>(W8*3.6)+W8</f>
        <v>92</v>
      </c>
      <c r="BC8" s="1">
        <f>(X8*3.8)+X8</f>
        <v>118.56</v>
      </c>
      <c r="BD8" s="1">
        <f>(Y8*4)+Y8</f>
        <v>77</v>
      </c>
      <c r="BE8" s="1">
        <f>(Z8*4.05)+Z8</f>
        <v>90.394999999999982</v>
      </c>
      <c r="BF8" s="1">
        <f>(AA8*4.2)+AA8</f>
        <v>76.44</v>
      </c>
      <c r="BG8" s="1">
        <f>(AB8*4.4)+AB8</f>
        <v>110.7</v>
      </c>
      <c r="BH8" s="1">
        <f>(AC8*4.5)+AC8</f>
        <v>146.30000000000001</v>
      </c>
      <c r="BI8" s="1">
        <f>(AD8*4.75)+AD8</f>
        <v>122.47499999999999</v>
      </c>
      <c r="BJ8" s="1">
        <f>(AE8*4.95)+AE8</f>
        <v>130.30500000000001</v>
      </c>
      <c r="BK8" s="1">
        <f>(AF8*5.05)+AF8</f>
        <v>91.96</v>
      </c>
    </row>
    <row r="9" spans="1:63" ht="16" x14ac:dyDescent="0.2">
      <c r="A9" s="8" t="s">
        <v>659</v>
      </c>
      <c r="B9" s="16" t="s">
        <v>913</v>
      </c>
      <c r="G9" s="3"/>
      <c r="H9" s="1">
        <v>4.2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G9" s="8"/>
      <c r="AH9" s="1"/>
      <c r="AI9" s="1"/>
      <c r="AJ9" s="1"/>
      <c r="AK9" s="1"/>
      <c r="AL9" s="1"/>
      <c r="AM9" s="1">
        <v>4.2</v>
      </c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3" ht="16" x14ac:dyDescent="0.2">
      <c r="A10" s="8" t="s">
        <v>379</v>
      </c>
      <c r="B10" s="16" t="s">
        <v>697</v>
      </c>
      <c r="I10" s="1">
        <v>28.3</v>
      </c>
      <c r="J10" s="1">
        <v>25.6</v>
      </c>
      <c r="K10" s="1">
        <v>29</v>
      </c>
      <c r="L10" s="1">
        <v>32.700000000000003</v>
      </c>
      <c r="M10" s="1">
        <v>30.4</v>
      </c>
      <c r="N10" s="1">
        <v>28</v>
      </c>
      <c r="O10" s="1">
        <v>23.6</v>
      </c>
      <c r="P10" s="1">
        <v>24.6</v>
      </c>
      <c r="Q10" s="1">
        <v>27.3</v>
      </c>
      <c r="R10" s="1">
        <v>33.799999999999997</v>
      </c>
      <c r="S10" s="1">
        <v>28.3</v>
      </c>
      <c r="T10" s="1">
        <v>30.4</v>
      </c>
      <c r="U10" s="1">
        <v>33.299999999999997</v>
      </c>
      <c r="V10" s="1">
        <v>31.9</v>
      </c>
      <c r="W10" s="1">
        <v>24</v>
      </c>
      <c r="X10" s="1">
        <v>29</v>
      </c>
      <c r="Y10" s="1">
        <v>15.1</v>
      </c>
      <c r="Z10" s="1">
        <v>27.6</v>
      </c>
      <c r="AA10" s="1">
        <v>21.2</v>
      </c>
      <c r="AB10" s="1">
        <v>19.600000000000001</v>
      </c>
      <c r="AC10" s="1">
        <v>24.8</v>
      </c>
      <c r="AD10" s="1">
        <v>5.7</v>
      </c>
      <c r="AE10" s="1">
        <v>5.7</v>
      </c>
      <c r="AF10" s="1">
        <v>15.8</v>
      </c>
      <c r="AG10" s="8"/>
      <c r="AH10" s="1"/>
      <c r="AI10" s="1"/>
      <c r="AJ10" s="1"/>
      <c r="AK10" s="1"/>
      <c r="AL10" s="1"/>
      <c r="AM10" s="1"/>
      <c r="AN10" s="1">
        <v>28.3</v>
      </c>
      <c r="AO10" s="1">
        <f>(J10*0.1)+J10</f>
        <v>28.160000000000004</v>
      </c>
      <c r="AP10" s="1">
        <f>(K10*0.3)+K10</f>
        <v>37.700000000000003</v>
      </c>
      <c r="AQ10" s="1">
        <f>(L10*0.5)+L10</f>
        <v>49.050000000000004</v>
      </c>
      <c r="AR10" s="1">
        <f>(M10*0.65)+M10</f>
        <v>50.16</v>
      </c>
      <c r="AS10" s="1">
        <f>(N10*0.85)+N10</f>
        <v>51.8</v>
      </c>
      <c r="AT10" s="1">
        <f>(O10*1.05)+O10</f>
        <v>48.38</v>
      </c>
      <c r="AU10" s="1">
        <f>(P10*1.25)+P10</f>
        <v>55.35</v>
      </c>
      <c r="AV10" s="1">
        <f>(Q10*1.3)+Q10</f>
        <v>62.790000000000006</v>
      </c>
      <c r="AW10" s="1">
        <f>(R10*1.55)+R10</f>
        <v>86.19</v>
      </c>
      <c r="AX10" s="1">
        <f>(S10*1.75)+S10</f>
        <v>77.825000000000003</v>
      </c>
      <c r="AY10" s="1">
        <f>(T10*1.8)+T10</f>
        <v>85.12</v>
      </c>
      <c r="AZ10" s="1">
        <f>(U10*2)+U10</f>
        <v>99.899999999999991</v>
      </c>
      <c r="BA10" s="1">
        <f>(V10*2.15)+V10</f>
        <v>100.48499999999999</v>
      </c>
      <c r="BB10" s="1">
        <f>(W10*2.4)+W10</f>
        <v>81.599999999999994</v>
      </c>
      <c r="BC10" s="1">
        <f>(X10*2.6)+X10</f>
        <v>104.4</v>
      </c>
      <c r="BD10" s="1">
        <f>(Y10*2.8)+Y10</f>
        <v>57.379999999999995</v>
      </c>
      <c r="BE10" s="1">
        <f>(Z10*2.85)+Z10</f>
        <v>106.26000000000002</v>
      </c>
      <c r="BF10" s="1">
        <f>(AA10*3)+AA10</f>
        <v>84.8</v>
      </c>
      <c r="BG10" s="1">
        <f>(AB10*3.2)+AB10</f>
        <v>82.320000000000007</v>
      </c>
      <c r="BH10" s="1">
        <f>(AC10*3.3)+AC10</f>
        <v>106.64</v>
      </c>
      <c r="BI10" s="1">
        <f>(AD10*3.55)+AD10</f>
        <v>25.934999999999999</v>
      </c>
      <c r="BJ10" s="1">
        <f>(AE10*3.75)+AE10</f>
        <v>27.074999999999999</v>
      </c>
      <c r="BK10" s="1">
        <f>(AF10*3.85)+AF10</f>
        <v>76.63000000000001</v>
      </c>
    </row>
    <row r="11" spans="1:63" ht="16" x14ac:dyDescent="0.2">
      <c r="A11" s="8" t="s">
        <v>381</v>
      </c>
      <c r="B11" s="16" t="s">
        <v>914</v>
      </c>
      <c r="I11" s="1"/>
      <c r="J11" s="1"/>
      <c r="K11" s="1"/>
      <c r="L11" s="1"/>
      <c r="M11" s="1">
        <v>1.8</v>
      </c>
      <c r="N11" s="1">
        <v>3</v>
      </c>
      <c r="O11" s="1">
        <v>2.9</v>
      </c>
      <c r="P11" s="1">
        <v>1.4</v>
      </c>
      <c r="Q11" s="1">
        <v>1.5</v>
      </c>
      <c r="R11" s="1">
        <v>0.9</v>
      </c>
      <c r="S11" s="1">
        <v>2.1</v>
      </c>
      <c r="T11" s="1">
        <v>2.2999999999999998</v>
      </c>
      <c r="U11" s="1">
        <v>1.2</v>
      </c>
      <c r="V11" s="1"/>
      <c r="W11" s="1"/>
      <c r="X11" s="1"/>
      <c r="Y11" s="1"/>
      <c r="Z11" s="1"/>
      <c r="AA11" s="1"/>
      <c r="AB11" s="1"/>
      <c r="AC11" s="1"/>
      <c r="AD11" s="1"/>
      <c r="AG11" s="8"/>
      <c r="AH11" s="1"/>
      <c r="AI11" s="1"/>
      <c r="AJ11" s="1"/>
      <c r="AK11" s="1"/>
      <c r="AL11" s="1"/>
      <c r="AM11" s="1"/>
      <c r="AN11" s="3"/>
      <c r="AO11" s="3"/>
      <c r="AP11" s="3"/>
      <c r="AQ11" s="3"/>
      <c r="AR11" s="1">
        <v>1.8</v>
      </c>
      <c r="AS11" s="1">
        <f>(N11*0.2)+N11</f>
        <v>3.6</v>
      </c>
      <c r="AT11" s="1">
        <f>(O11*0.4)+O11</f>
        <v>4.0599999999999996</v>
      </c>
      <c r="AU11" s="1">
        <f>(P11*0.6)+P11</f>
        <v>2.2399999999999998</v>
      </c>
      <c r="AV11" s="1">
        <f>(Q11*0.7)+Q11</f>
        <v>2.5499999999999998</v>
      </c>
      <c r="AW11" s="1">
        <f>(R11*0.95)+R11</f>
        <v>1.7549999999999999</v>
      </c>
      <c r="AX11" s="1">
        <f>(S11*1.15)+S11</f>
        <v>4.5150000000000006</v>
      </c>
      <c r="AY11" s="1">
        <f>(T11*1.2)+T11</f>
        <v>5.0599999999999996</v>
      </c>
      <c r="AZ11" s="1">
        <f>(U11*1.4)+U11</f>
        <v>2.88</v>
      </c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3" ht="16" x14ac:dyDescent="0.2">
      <c r="A12" s="8" t="s">
        <v>382</v>
      </c>
      <c r="B12" s="16" t="s">
        <v>915</v>
      </c>
      <c r="M12" s="1">
        <v>0.6</v>
      </c>
      <c r="N12" s="1">
        <v>2.1</v>
      </c>
      <c r="O12" s="1">
        <v>4.8</v>
      </c>
      <c r="P12" s="1">
        <v>1.1000000000000001</v>
      </c>
      <c r="Q12" s="1">
        <v>1.9</v>
      </c>
      <c r="R12" s="1">
        <v>0.8</v>
      </c>
      <c r="S12" s="1">
        <v>0.2</v>
      </c>
      <c r="T12" s="1">
        <v>0.3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G12" s="8"/>
      <c r="AH12" s="1"/>
      <c r="AI12" s="1"/>
      <c r="AJ12" s="1"/>
      <c r="AK12" s="1"/>
      <c r="AL12" s="1"/>
      <c r="AM12" s="1"/>
      <c r="AN12" s="3"/>
      <c r="AO12" s="3"/>
      <c r="AP12" s="3"/>
      <c r="AQ12" s="3"/>
      <c r="AR12" s="1">
        <v>0.6</v>
      </c>
      <c r="AS12" s="1">
        <f t="shared" ref="AS12" si="14">(N12*0.2)+N12</f>
        <v>2.52</v>
      </c>
      <c r="AT12" s="1">
        <f t="shared" ref="AT12" si="15">(O12*0.4)+O12</f>
        <v>6.72</v>
      </c>
      <c r="AU12" s="1">
        <f t="shared" ref="AU12" si="16">(P12*0.6)+P12</f>
        <v>1.7600000000000002</v>
      </c>
      <c r="AV12" s="1">
        <f>(Q12*0.7)+Q12</f>
        <v>3.2299999999999995</v>
      </c>
      <c r="AW12" s="1">
        <f>(R12*0.95)+R12</f>
        <v>1.56</v>
      </c>
      <c r="AX12" s="1">
        <f>(S12*1.15)+S12</f>
        <v>0.43</v>
      </c>
      <c r="AY12" s="1">
        <f>(T12*1.2)+T12</f>
        <v>0.65999999999999992</v>
      </c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3" ht="16" x14ac:dyDescent="0.2">
      <c r="A13" s="8" t="s">
        <v>383</v>
      </c>
      <c r="B13" s="16" t="s">
        <v>916</v>
      </c>
      <c r="O13" s="1">
        <v>4.5</v>
      </c>
      <c r="P13" s="1">
        <v>6.8</v>
      </c>
      <c r="Q13" s="1">
        <v>4.2</v>
      </c>
      <c r="R13" s="1">
        <v>5.4</v>
      </c>
      <c r="S13" s="1">
        <v>11.1</v>
      </c>
      <c r="T13" s="1">
        <v>4.3</v>
      </c>
      <c r="U13" s="1">
        <v>6.1</v>
      </c>
      <c r="V13" s="1">
        <v>7.9</v>
      </c>
      <c r="W13" s="1">
        <v>15.5</v>
      </c>
      <c r="X13" s="1">
        <v>9</v>
      </c>
      <c r="Y13" s="1">
        <v>5.0999999999999996</v>
      </c>
      <c r="Z13" s="1">
        <v>4.0999999999999996</v>
      </c>
      <c r="AA13" s="1">
        <v>2</v>
      </c>
      <c r="AB13" s="1">
        <v>6.9</v>
      </c>
      <c r="AC13" s="1">
        <v>8</v>
      </c>
      <c r="AD13" s="1">
        <v>12.2</v>
      </c>
      <c r="AE13" s="1">
        <v>15</v>
      </c>
      <c r="AF13" s="1">
        <v>6.3</v>
      </c>
      <c r="AG13" s="8"/>
      <c r="AH13" s="1"/>
      <c r="AI13" s="1"/>
      <c r="AJ13" s="1"/>
      <c r="AK13" s="1"/>
      <c r="AL13" s="1"/>
      <c r="AM13" s="1"/>
      <c r="AN13" s="3"/>
      <c r="AO13" s="3"/>
      <c r="AP13" s="3"/>
      <c r="AQ13" s="3"/>
      <c r="AR13" s="3"/>
      <c r="AS13" s="3"/>
      <c r="AT13" s="1">
        <v>4.5</v>
      </c>
      <c r="AU13" s="1">
        <f t="shared" ref="AU13" si="17">(P13*0.2)+P13</f>
        <v>8.16</v>
      </c>
      <c r="AV13" s="1">
        <f>(Q13*0.25)+Q13</f>
        <v>5.25</v>
      </c>
      <c r="AW13" s="1">
        <f>(R13*0.5)+R13</f>
        <v>8.1000000000000014</v>
      </c>
      <c r="AX13" s="1">
        <f>(S13*0.7)+S13</f>
        <v>18.869999999999997</v>
      </c>
      <c r="AY13" s="1">
        <f>(T13*0.75)+T13</f>
        <v>7.5249999999999995</v>
      </c>
      <c r="AZ13" s="1">
        <f>(U13*0.95)+U13</f>
        <v>11.895</v>
      </c>
      <c r="BA13" s="1">
        <f>(V13*1.1)+V13</f>
        <v>16.590000000000003</v>
      </c>
      <c r="BB13" s="1">
        <f>(W13*1.35)+W13</f>
        <v>36.424999999999997</v>
      </c>
      <c r="BC13" s="1">
        <f>(X13*1.55)+X13</f>
        <v>22.950000000000003</v>
      </c>
      <c r="BD13" s="1">
        <f>(Y13*1.75)+Y13</f>
        <v>14.024999999999999</v>
      </c>
      <c r="BE13" s="1">
        <f>(Z13*1.8)+Z13</f>
        <v>11.48</v>
      </c>
      <c r="BF13" s="1">
        <f>(AA13*1.95)+AA13</f>
        <v>5.9</v>
      </c>
      <c r="BG13" s="1">
        <f>(AB13*2.15)+AB13</f>
        <v>21.734999999999999</v>
      </c>
      <c r="BH13" s="1">
        <f>(AC13*2.25)+AC13</f>
        <v>26</v>
      </c>
      <c r="BI13" s="1">
        <f>(AD13*2.5)+AD13</f>
        <v>42.7</v>
      </c>
      <c r="BJ13" s="1">
        <f>(AE13*2.7)+AE13</f>
        <v>55.5</v>
      </c>
      <c r="BK13" s="1">
        <f>(AF13*2.8)+AF13</f>
        <v>23.939999999999998</v>
      </c>
    </row>
    <row r="14" spans="1:63" ht="16" x14ac:dyDescent="0.2">
      <c r="A14" s="8" t="s">
        <v>384</v>
      </c>
      <c r="B14" s="16" t="s">
        <v>917</v>
      </c>
      <c r="P14" s="1">
        <v>5.3</v>
      </c>
      <c r="Q14" s="1">
        <v>4.0999999999999996</v>
      </c>
      <c r="R14" s="1">
        <v>0.7</v>
      </c>
      <c r="S14" s="1">
        <v>0.5</v>
      </c>
      <c r="T14" s="1">
        <v>0.4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G14" s="8"/>
      <c r="AH14" s="1"/>
      <c r="AI14" s="1"/>
      <c r="AJ14" s="1"/>
      <c r="AK14" s="1"/>
      <c r="AL14" s="1"/>
      <c r="AM14" s="1"/>
      <c r="AN14" s="3"/>
      <c r="AO14" s="3"/>
      <c r="AP14" s="3"/>
      <c r="AQ14" s="3"/>
      <c r="AR14" s="3"/>
      <c r="AS14" s="3"/>
      <c r="AT14" s="3"/>
      <c r="AU14" s="1">
        <v>5.3</v>
      </c>
      <c r="AV14" s="1">
        <f>(Q14*0.05)+Q14</f>
        <v>4.3049999999999997</v>
      </c>
      <c r="AW14" s="1">
        <f>(R14*0.3)+R14</f>
        <v>0.90999999999999992</v>
      </c>
      <c r="AX14" s="1">
        <f>(S14*0.5)+S14</f>
        <v>0.75</v>
      </c>
      <c r="AY14" s="1">
        <f>(T14*0.55)+T14</f>
        <v>0.62000000000000011</v>
      </c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3" ht="16" x14ac:dyDescent="0.2">
      <c r="A15" s="8" t="s">
        <v>385</v>
      </c>
      <c r="B15" s="16" t="s">
        <v>918</v>
      </c>
      <c r="P15" s="1">
        <v>1.8</v>
      </c>
      <c r="Q15" s="1">
        <v>4.8</v>
      </c>
      <c r="R15" s="1">
        <v>1.7</v>
      </c>
      <c r="S15" s="1">
        <v>2</v>
      </c>
      <c r="T15" s="1">
        <v>1.7</v>
      </c>
      <c r="U15" s="1">
        <v>1.3</v>
      </c>
      <c r="V15" s="1"/>
      <c r="W15" s="1"/>
      <c r="X15" s="1"/>
      <c r="Y15" s="1"/>
      <c r="Z15" s="1"/>
      <c r="AA15" s="1"/>
      <c r="AB15" s="1"/>
      <c r="AC15" s="1"/>
      <c r="AD15" s="1"/>
      <c r="AG15" s="8"/>
      <c r="AH15" s="1"/>
      <c r="AI15" s="1"/>
      <c r="AJ15" s="1"/>
      <c r="AK15" s="1"/>
      <c r="AL15" s="1"/>
      <c r="AM15" s="1"/>
      <c r="AN15" s="3"/>
      <c r="AO15" s="3"/>
      <c r="AP15" s="3"/>
      <c r="AQ15" s="3"/>
      <c r="AR15" s="3"/>
      <c r="AS15" s="3"/>
      <c r="AT15" s="3"/>
      <c r="AU15" s="1">
        <v>1.8</v>
      </c>
      <c r="AV15" s="1">
        <f>(Q15*0.05)+Q15</f>
        <v>5.04</v>
      </c>
      <c r="AW15" s="1">
        <f>(R15*0.3)+R15</f>
        <v>2.21</v>
      </c>
      <c r="AX15" s="1">
        <f>(S15*0.5)+S15</f>
        <v>3</v>
      </c>
      <c r="AY15" s="1">
        <f>(T15*0.55)+T15</f>
        <v>2.6349999999999998</v>
      </c>
      <c r="AZ15" s="1">
        <f>(U15*0.75)+U15</f>
        <v>2.2750000000000004</v>
      </c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3" ht="16" x14ac:dyDescent="0.2">
      <c r="A16" s="8" t="s">
        <v>386</v>
      </c>
      <c r="B16" s="16" t="s">
        <v>919</v>
      </c>
      <c r="Q16" s="1"/>
      <c r="R16" s="1">
        <v>31.9</v>
      </c>
      <c r="S16" s="1">
        <v>30.8</v>
      </c>
      <c r="T16" s="1">
        <v>29.4</v>
      </c>
      <c r="U16" s="1">
        <v>34.6</v>
      </c>
      <c r="V16" s="1">
        <v>35.299999999999997</v>
      </c>
      <c r="W16" s="1">
        <v>22.2</v>
      </c>
      <c r="X16" s="1">
        <v>18.399999999999999</v>
      </c>
      <c r="Y16" s="1">
        <v>27.9</v>
      </c>
      <c r="Z16" s="1">
        <v>28.6</v>
      </c>
      <c r="AA16" s="1">
        <v>26.5</v>
      </c>
      <c r="AB16" s="1">
        <v>13.6</v>
      </c>
      <c r="AC16" s="1">
        <v>8.5</v>
      </c>
      <c r="AD16" s="1">
        <v>12.4</v>
      </c>
      <c r="AE16" s="1">
        <v>9.5</v>
      </c>
      <c r="AF16" s="1">
        <v>3.3</v>
      </c>
      <c r="AG16" s="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>
        <v>31.9</v>
      </c>
      <c r="AX16" s="1">
        <f t="shared" ref="AX16:AX24" si="18">(S16*0.2)+S16</f>
        <v>36.96</v>
      </c>
      <c r="AY16" s="1">
        <f>(T16*0.25)+T16</f>
        <v>36.75</v>
      </c>
      <c r="AZ16" s="1">
        <f>(U16*0.45)+U16</f>
        <v>50.17</v>
      </c>
      <c r="BA16" s="1">
        <f>(V16*0.6)+V16</f>
        <v>56.47999999999999</v>
      </c>
      <c r="BB16" s="1">
        <f>(W16*0.85)+W16</f>
        <v>41.069999999999993</v>
      </c>
      <c r="BC16" s="1">
        <f>(X16*1.05)+X16</f>
        <v>37.72</v>
      </c>
      <c r="BD16" s="1">
        <f>(Y16*1.25)+Y16</f>
        <v>62.774999999999999</v>
      </c>
      <c r="BE16" s="1">
        <f>(Z16*1.3)+Z16</f>
        <v>65.78</v>
      </c>
      <c r="BF16" s="1">
        <f>(AA16*1.45)+AA16</f>
        <v>64.924999999999997</v>
      </c>
      <c r="BG16" s="1">
        <f>(AB16*1.65)+AB16</f>
        <v>36.04</v>
      </c>
      <c r="BH16" s="1">
        <f>(AC16*1.75)+AC16</f>
        <v>23.375</v>
      </c>
      <c r="BI16" s="1">
        <f>(AD16*2)+AD16</f>
        <v>37.200000000000003</v>
      </c>
      <c r="BJ16" s="1">
        <f>(AE16*2.2)+AE16</f>
        <v>30.400000000000002</v>
      </c>
      <c r="BK16" s="1">
        <f>(AF16*2.3)+AF16</f>
        <v>10.889999999999999</v>
      </c>
    </row>
    <row r="17" spans="1:63" ht="16" x14ac:dyDescent="0.2">
      <c r="A17" s="8" t="s">
        <v>660</v>
      </c>
      <c r="B17" s="16" t="s">
        <v>920</v>
      </c>
      <c r="Q17" s="1"/>
      <c r="R17" s="1"/>
      <c r="S17" s="1"/>
      <c r="T17" s="1"/>
      <c r="U17" s="1"/>
      <c r="V17" s="1"/>
      <c r="W17" s="1">
        <v>3.6</v>
      </c>
      <c r="X17" s="1"/>
      <c r="Y17" s="1"/>
      <c r="Z17" s="1"/>
      <c r="AA17" s="1"/>
      <c r="AB17" s="1"/>
      <c r="AC17" s="1"/>
      <c r="AD17" s="1"/>
      <c r="AG17" s="8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>
        <v>3.6</v>
      </c>
      <c r="BC17" s="1"/>
      <c r="BD17" s="1"/>
      <c r="BE17" s="1"/>
      <c r="BF17" s="1"/>
      <c r="BG17" s="1"/>
      <c r="BH17" s="1"/>
      <c r="BI17" s="1"/>
    </row>
    <row r="18" spans="1:63" ht="16" x14ac:dyDescent="0.2">
      <c r="A18" s="15" t="s">
        <v>662</v>
      </c>
      <c r="B18" s="16" t="s">
        <v>921</v>
      </c>
      <c r="C18" s="1">
        <v>6.2</v>
      </c>
      <c r="D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G18" s="15"/>
      <c r="AH18" s="1">
        <v>6.2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3" ht="16" x14ac:dyDescent="0.2">
      <c r="A19" s="15" t="s">
        <v>657</v>
      </c>
      <c r="B19" s="16" t="s">
        <v>922</v>
      </c>
      <c r="C19" s="1">
        <v>3.8</v>
      </c>
      <c r="D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G19" s="15"/>
      <c r="AH19" s="1">
        <v>3.8</v>
      </c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3" ht="16" x14ac:dyDescent="0.2">
      <c r="A20" s="15" t="s">
        <v>1517</v>
      </c>
      <c r="B20" s="16" t="s">
        <v>1518</v>
      </c>
      <c r="C20" s="1"/>
      <c r="D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>
        <v>12.9</v>
      </c>
      <c r="AG20" s="15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K20" s="1">
        <v>12.9</v>
      </c>
    </row>
    <row r="21" spans="1:63" ht="16" x14ac:dyDescent="0.2">
      <c r="A21" s="15" t="s">
        <v>118</v>
      </c>
      <c r="B21" s="16" t="s">
        <v>1519</v>
      </c>
      <c r="C21" s="1"/>
      <c r="D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1</v>
      </c>
      <c r="AF21" s="1">
        <v>4.7</v>
      </c>
      <c r="AG21" s="15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>
        <v>1</v>
      </c>
      <c r="BK21" s="1">
        <f>(AF21*0.1)+AF21</f>
        <v>5.17</v>
      </c>
    </row>
    <row r="22" spans="1:63" ht="16" x14ac:dyDescent="0.2">
      <c r="A22" s="15" t="s">
        <v>1464</v>
      </c>
      <c r="B22" s="16" t="s">
        <v>1463</v>
      </c>
      <c r="C22" s="1"/>
      <c r="D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>
        <v>1.8</v>
      </c>
      <c r="AE22" s="1">
        <v>5</v>
      </c>
      <c r="AF22" s="1">
        <v>2.2000000000000002</v>
      </c>
      <c r="AG22" s="15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>
        <v>1.8</v>
      </c>
      <c r="BJ22" s="1">
        <f>(AE22*0.2)+AE22</f>
        <v>6</v>
      </c>
      <c r="BK22" s="1">
        <f>(AF22*0.3)+AF22</f>
        <v>2.8600000000000003</v>
      </c>
    </row>
    <row r="23" spans="1:63" ht="16" x14ac:dyDescent="0.2">
      <c r="A23" s="15" t="s">
        <v>658</v>
      </c>
      <c r="B23" s="16" t="s">
        <v>923</v>
      </c>
      <c r="C23" s="1">
        <v>3.1</v>
      </c>
      <c r="D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G23" s="15"/>
      <c r="AH23" s="1">
        <v>3.1</v>
      </c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3" ht="16" x14ac:dyDescent="0.2">
      <c r="A24" s="8" t="s">
        <v>158</v>
      </c>
      <c r="B24" s="16" t="s">
        <v>448</v>
      </c>
      <c r="R24" s="1">
        <v>0.2</v>
      </c>
      <c r="S24" s="1">
        <v>0.3</v>
      </c>
      <c r="T24" s="1">
        <v>0.5</v>
      </c>
      <c r="U24" s="1">
        <v>0.4</v>
      </c>
      <c r="V24" s="1">
        <v>0.4</v>
      </c>
      <c r="W24" s="1">
        <v>1.3</v>
      </c>
      <c r="X24" s="1">
        <v>3.5</v>
      </c>
      <c r="Y24" s="1">
        <v>5.9</v>
      </c>
      <c r="Z24" s="1">
        <v>6.3</v>
      </c>
      <c r="AA24" s="1">
        <v>16.600000000000001</v>
      </c>
      <c r="AB24" s="1">
        <v>9.8000000000000007</v>
      </c>
      <c r="AC24" s="1">
        <v>9.6999999999999993</v>
      </c>
      <c r="AD24" s="1">
        <v>9.1</v>
      </c>
      <c r="AE24" s="1">
        <v>6</v>
      </c>
      <c r="AF24" s="1">
        <v>3.2</v>
      </c>
      <c r="AG24" s="8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>
        <v>0.2</v>
      </c>
      <c r="AX24" s="1">
        <f t="shared" si="18"/>
        <v>0.36</v>
      </c>
      <c r="AY24" s="1">
        <f>(T24*0.25)+T24</f>
        <v>0.625</v>
      </c>
      <c r="AZ24" s="1">
        <f>(U24*0.45)+U24</f>
        <v>0.58000000000000007</v>
      </c>
      <c r="BA24" s="1">
        <f>(V24*0.6)+V24</f>
        <v>0.64</v>
      </c>
      <c r="BB24" s="1">
        <f>(W24*0.85)+W24</f>
        <v>2.4050000000000002</v>
      </c>
      <c r="BC24" s="1">
        <f>(X24*1.05)+X24</f>
        <v>7.1750000000000007</v>
      </c>
      <c r="BD24" s="1">
        <f>(Y24*1.25)+Y24</f>
        <v>13.275</v>
      </c>
      <c r="BE24" s="1">
        <f>(Z24*1.3)+Z24</f>
        <v>14.489999999999998</v>
      </c>
      <c r="BF24" s="1">
        <f>(AA24*1.45)+AA24</f>
        <v>40.67</v>
      </c>
      <c r="BG24" s="1">
        <f>(AB24*1.65)+AB24</f>
        <v>25.970000000000002</v>
      </c>
      <c r="BH24" s="1">
        <f>(AC24*1.75)+AC24</f>
        <v>26.674999999999997</v>
      </c>
      <c r="BI24" s="1">
        <f>(AD24*2)+AD24</f>
        <v>27.299999999999997</v>
      </c>
      <c r="BJ24" s="1">
        <f>(AE24*2.2)+AE24</f>
        <v>19.200000000000003</v>
      </c>
      <c r="BK24" s="1">
        <f>(AF24*2.3)+AF24</f>
        <v>10.559999999999999</v>
      </c>
    </row>
    <row r="25" spans="1:63" ht="16" x14ac:dyDescent="0.2">
      <c r="A25" s="8" t="s">
        <v>387</v>
      </c>
      <c r="B25" s="16" t="s">
        <v>924</v>
      </c>
      <c r="T25" s="1"/>
      <c r="U25" s="1"/>
      <c r="V25" s="1">
        <v>4.0999999999999996</v>
      </c>
      <c r="W25" s="1">
        <v>3.5</v>
      </c>
      <c r="X25" s="1">
        <v>7.3</v>
      </c>
      <c r="Y25" s="1">
        <v>7</v>
      </c>
      <c r="Z25" s="1">
        <v>5.0999999999999996</v>
      </c>
      <c r="AA25" s="1">
        <v>4.5999999999999996</v>
      </c>
      <c r="AB25" s="1">
        <v>6.7</v>
      </c>
      <c r="AC25" s="1">
        <v>2.2999999999999998</v>
      </c>
      <c r="AD25" s="1">
        <v>9.1</v>
      </c>
      <c r="AE25" s="1">
        <v>5.2</v>
      </c>
      <c r="AF25" s="1"/>
      <c r="AG25" s="8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>
        <v>4.0999999999999996</v>
      </c>
      <c r="BB25" s="1">
        <f>(W25*0.25)+W25</f>
        <v>4.375</v>
      </c>
      <c r="BC25" s="1">
        <f>(X25*0.45)+X25</f>
        <v>10.585000000000001</v>
      </c>
      <c r="BD25" s="1">
        <f>(Y25*0.65)+Y25</f>
        <v>11.55</v>
      </c>
      <c r="BE25" s="1">
        <f>(Z25*0.7)+Z25</f>
        <v>8.6699999999999982</v>
      </c>
      <c r="BF25" s="1">
        <f>(AA25*0.85)+AA25</f>
        <v>8.51</v>
      </c>
      <c r="BG25" s="1">
        <f>(AB25*1.05)+AB25</f>
        <v>13.734999999999999</v>
      </c>
      <c r="BH25" s="1">
        <f>(AC25*1.15)+AC25</f>
        <v>4.9449999999999994</v>
      </c>
      <c r="BI25" s="1">
        <f>(AD25*1.4)+AD25</f>
        <v>21.839999999999996</v>
      </c>
      <c r="BJ25" s="1">
        <f>(AE25*1.6)+AE25</f>
        <v>13.52</v>
      </c>
      <c r="BK25" s="1"/>
    </row>
    <row r="26" spans="1:63" ht="16" x14ac:dyDescent="0.2">
      <c r="A26" s="8" t="s">
        <v>661</v>
      </c>
      <c r="B26" s="16" t="s">
        <v>925</v>
      </c>
      <c r="T26" s="1"/>
      <c r="U26" s="1"/>
      <c r="V26" s="1"/>
      <c r="W26" s="1"/>
      <c r="X26" s="1"/>
      <c r="Y26" s="1">
        <v>17</v>
      </c>
      <c r="Z26" s="1">
        <v>5.7</v>
      </c>
      <c r="AA26" s="1">
        <v>0.2</v>
      </c>
      <c r="AB26" s="1"/>
      <c r="AC26" s="1"/>
      <c r="AD26" s="1"/>
      <c r="AG26" s="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>
        <v>17</v>
      </c>
      <c r="BE26" s="1">
        <f>(Z26*0.05)+Z26</f>
        <v>5.9850000000000003</v>
      </c>
      <c r="BF26" s="1">
        <f>(AA26*0.3)+AA26</f>
        <v>0.26</v>
      </c>
      <c r="BG26" s="1"/>
      <c r="BH26" s="1"/>
      <c r="BI26" s="1"/>
      <c r="BJ26" s="1"/>
    </row>
    <row r="27" spans="1:63" ht="16" x14ac:dyDescent="0.2">
      <c r="A27" s="8" t="s">
        <v>388</v>
      </c>
      <c r="B27" s="16" t="s">
        <v>926</v>
      </c>
      <c r="T27" s="1"/>
      <c r="U27" s="1"/>
      <c r="V27" s="1"/>
      <c r="W27" s="1"/>
      <c r="X27" s="1"/>
      <c r="Y27" s="1">
        <v>2.5</v>
      </c>
      <c r="Z27" s="1">
        <v>2.1</v>
      </c>
      <c r="AA27" s="1">
        <v>4</v>
      </c>
      <c r="AB27" s="1">
        <v>3.2</v>
      </c>
      <c r="AC27" s="1">
        <v>3.1</v>
      </c>
      <c r="AD27" s="1">
        <v>3.4</v>
      </c>
      <c r="AE27" s="1">
        <v>3.4</v>
      </c>
      <c r="AF27" s="1">
        <v>2</v>
      </c>
      <c r="AG27" s="8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>
        <v>2.5</v>
      </c>
      <c r="BE27" s="1">
        <f>(Z27*0.05)+Z27</f>
        <v>2.2050000000000001</v>
      </c>
      <c r="BF27" s="1">
        <f>(AA27*0.3)+AA27</f>
        <v>5.2</v>
      </c>
      <c r="BG27" s="1">
        <f>(AB27*0.5)+AB27</f>
        <v>4.8000000000000007</v>
      </c>
      <c r="BH27" s="1">
        <f>(AC27*0.6)+AC27</f>
        <v>4.96</v>
      </c>
      <c r="BI27" s="1">
        <f>(AD27*0.85)+AD27</f>
        <v>6.2899999999999991</v>
      </c>
      <c r="BJ27" s="1">
        <f>(AE27*1.05)+AE27</f>
        <v>6.97</v>
      </c>
      <c r="BK27" s="1">
        <f>(AF27*1.15)+AF27</f>
        <v>4.3</v>
      </c>
    </row>
    <row r="28" spans="1:63" ht="16" x14ac:dyDescent="0.2">
      <c r="A28" s="8" t="s">
        <v>1345</v>
      </c>
      <c r="B28" s="16" t="s">
        <v>1344</v>
      </c>
      <c r="T28" s="1"/>
      <c r="U28" s="1"/>
      <c r="V28" s="1"/>
      <c r="W28" s="1"/>
      <c r="X28" s="1"/>
      <c r="Y28" s="1"/>
      <c r="Z28" s="1">
        <v>0.5</v>
      </c>
      <c r="AA28" s="1">
        <v>1.8</v>
      </c>
      <c r="AB28" s="1">
        <v>1.3</v>
      </c>
      <c r="AC28" s="1">
        <v>1.9</v>
      </c>
      <c r="AD28" s="1">
        <v>3.2</v>
      </c>
      <c r="AE28" s="1">
        <v>3.8</v>
      </c>
      <c r="AF28" s="1">
        <v>2.2999999999999998</v>
      </c>
      <c r="AG28" s="8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>
        <v>0.5</v>
      </c>
      <c r="BF28" s="1">
        <f>(AA28*0.15)+AA28</f>
        <v>2.0700000000000003</v>
      </c>
      <c r="BG28" s="1">
        <f>(AB28*0.35)+AB28</f>
        <v>1.7549999999999999</v>
      </c>
      <c r="BH28" s="1">
        <f>(AC28*0.45)+AC28</f>
        <v>2.7549999999999999</v>
      </c>
      <c r="BI28" s="1">
        <f>(AD28*0.7)+AD28</f>
        <v>5.4399999999999995</v>
      </c>
      <c r="BJ28" s="1">
        <f>(AE28*0.9)+AE28</f>
        <v>7.22</v>
      </c>
      <c r="BK28" s="1">
        <f>(AF28*1)+AF28</f>
        <v>4.5999999999999996</v>
      </c>
    </row>
    <row r="29" spans="1:63" x14ac:dyDescent="0.2">
      <c r="A29" s="8" t="s">
        <v>1343</v>
      </c>
      <c r="B29" s="8" t="s">
        <v>1342</v>
      </c>
      <c r="T29" s="1"/>
      <c r="U29" s="1"/>
      <c r="V29" s="1"/>
      <c r="W29" s="1"/>
      <c r="X29" s="1"/>
      <c r="Y29" s="1"/>
      <c r="Z29" s="1"/>
      <c r="AA29" s="1"/>
      <c r="AB29" s="1"/>
      <c r="AC29" s="1">
        <v>1.9</v>
      </c>
      <c r="AD29" s="1">
        <v>3.1</v>
      </c>
      <c r="AE29" s="1">
        <v>1</v>
      </c>
      <c r="AF29" s="1">
        <v>0.5</v>
      </c>
      <c r="AG29" s="8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>
        <v>1.9</v>
      </c>
      <c r="BI29" s="1">
        <f>(AD29*0.25)+AD29</f>
        <v>3.875</v>
      </c>
      <c r="BJ29" s="1">
        <f>(AE29*0.45)+AE29</f>
        <v>1.45</v>
      </c>
      <c r="BK29" s="1">
        <f>(AF29*0.55)+AF29</f>
        <v>0.77500000000000002</v>
      </c>
    </row>
    <row r="30" spans="1:63" ht="16" x14ac:dyDescent="0.2">
      <c r="A30" s="8" t="s">
        <v>389</v>
      </c>
      <c r="B30" s="16" t="s">
        <v>927</v>
      </c>
      <c r="T30" s="1"/>
      <c r="U30" s="1"/>
      <c r="V30" s="1"/>
      <c r="W30" s="1"/>
      <c r="X30" s="1"/>
      <c r="Y30" s="1"/>
      <c r="Z30" s="1"/>
      <c r="AA30" s="1">
        <v>5.9</v>
      </c>
      <c r="AB30" s="1">
        <v>15.4</v>
      </c>
      <c r="AC30" s="1">
        <v>10.1</v>
      </c>
      <c r="AD30" s="1">
        <v>13.1</v>
      </c>
      <c r="AE30" s="1">
        <v>10.8</v>
      </c>
      <c r="AF30" s="1">
        <v>23.5</v>
      </c>
      <c r="AG30" s="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>
        <v>5.9</v>
      </c>
      <c r="BG30" s="1">
        <f t="shared" ref="BG30" si="19">(AB30*0.2)+AB30</f>
        <v>18.48</v>
      </c>
      <c r="BH30" s="1">
        <f>(AC30*0.3)+AC30</f>
        <v>13.129999999999999</v>
      </c>
      <c r="BI30" s="1">
        <f>(AD30*0.55)+AD30</f>
        <v>20.305</v>
      </c>
      <c r="BJ30" s="1">
        <f>(AE30*0.75)+AE30</f>
        <v>18.900000000000002</v>
      </c>
      <c r="BK30" s="1">
        <f>(AF30*0.85)+AF30</f>
        <v>43.474999999999994</v>
      </c>
    </row>
    <row r="31" spans="1:63" x14ac:dyDescent="0.2"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G31" s="3" t="s">
        <v>14</v>
      </c>
      <c r="AH31" s="1">
        <f t="shared" ref="AH31:BK31" si="20">SUM(AH2:AH30)</f>
        <v>92.6</v>
      </c>
      <c r="AI31" s="1">
        <f t="shared" si="20"/>
        <v>105.65999999999998</v>
      </c>
      <c r="AJ31" s="1">
        <f t="shared" si="20"/>
        <v>119.22</v>
      </c>
      <c r="AK31" s="1">
        <f t="shared" si="20"/>
        <v>139.72500000000002</v>
      </c>
      <c r="AL31" s="1">
        <f t="shared" si="20"/>
        <v>151.19999999999999</v>
      </c>
      <c r="AM31" s="1">
        <f t="shared" si="20"/>
        <v>174.62999999999997</v>
      </c>
      <c r="AN31" s="1">
        <f t="shared" si="20"/>
        <v>191.42000000000002</v>
      </c>
      <c r="AO31" s="1">
        <f t="shared" si="20"/>
        <v>199.08</v>
      </c>
      <c r="AP31" s="1">
        <f t="shared" si="20"/>
        <v>208.47000000000003</v>
      </c>
      <c r="AQ31" s="1">
        <f t="shared" si="20"/>
        <v>231.44</v>
      </c>
      <c r="AR31" s="1">
        <f t="shared" si="20"/>
        <v>244.40499999999997</v>
      </c>
      <c r="AS31" s="1">
        <f t="shared" si="20"/>
        <v>258.33499999999998</v>
      </c>
      <c r="AT31" s="1">
        <f t="shared" si="20"/>
        <v>264.38</v>
      </c>
      <c r="AU31" s="1">
        <f t="shared" si="20"/>
        <v>258.33499999999998</v>
      </c>
      <c r="AV31" s="1">
        <f t="shared" si="20"/>
        <v>266.02500000000009</v>
      </c>
      <c r="AW31" s="1">
        <f t="shared" si="20"/>
        <v>206.66499999999999</v>
      </c>
      <c r="AX31" s="1">
        <f t="shared" si="20"/>
        <v>219.76000000000002</v>
      </c>
      <c r="AY31" s="1">
        <f t="shared" si="20"/>
        <v>238.95500000000001</v>
      </c>
      <c r="AZ31" s="1">
        <f t="shared" si="20"/>
        <v>243.42000000000004</v>
      </c>
      <c r="BA31" s="1">
        <f t="shared" si="20"/>
        <v>241.80499999999995</v>
      </c>
      <c r="BB31" s="1">
        <f t="shared" si="20"/>
        <v>261.47499999999997</v>
      </c>
      <c r="BC31" s="1">
        <f t="shared" si="20"/>
        <v>301.39</v>
      </c>
      <c r="BD31" s="1">
        <f t="shared" si="20"/>
        <v>255.50500000000002</v>
      </c>
      <c r="BE31" s="1">
        <f t="shared" si="20"/>
        <v>305.76499999999999</v>
      </c>
      <c r="BF31" s="1">
        <f t="shared" si="20"/>
        <v>294.67499999999995</v>
      </c>
      <c r="BG31" s="1">
        <f t="shared" si="20"/>
        <v>315.53500000000003</v>
      </c>
      <c r="BH31" s="1">
        <f t="shared" si="20"/>
        <v>356.67999999999995</v>
      </c>
      <c r="BI31" s="1">
        <f t="shared" si="20"/>
        <v>315.16000000000003</v>
      </c>
      <c r="BJ31" s="1">
        <f t="shared" si="20"/>
        <v>317.54000000000002</v>
      </c>
      <c r="BK31" s="1">
        <f t="shared" si="20"/>
        <v>288.06</v>
      </c>
    </row>
    <row r="32" spans="1:63" x14ac:dyDescent="0.2"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G32" s="1"/>
      <c r="AH32" s="1"/>
      <c r="AI32" s="1"/>
      <c r="AJ32" s="1"/>
      <c r="AK32" s="1"/>
      <c r="AL32" s="1"/>
      <c r="AM32" s="1"/>
    </row>
    <row r="33" spans="1:63" ht="16" x14ac:dyDescent="0.2">
      <c r="A33" s="15"/>
      <c r="B33" s="15"/>
      <c r="C33" s="16"/>
      <c r="D33" s="16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G33" s="1"/>
      <c r="AH33" s="1">
        <v>100</v>
      </c>
      <c r="AI33" s="1">
        <v>120</v>
      </c>
      <c r="AJ33" s="1">
        <v>135</v>
      </c>
      <c r="AK33" s="1">
        <v>155</v>
      </c>
      <c r="AL33" s="1">
        <v>175</v>
      </c>
      <c r="AM33" s="1">
        <v>195</v>
      </c>
      <c r="AN33" s="1">
        <v>240</v>
      </c>
      <c r="AO33" s="1">
        <v>250</v>
      </c>
      <c r="AP33" s="1">
        <v>270</v>
      </c>
      <c r="AQ33" s="1">
        <v>290</v>
      </c>
      <c r="AR33" s="1">
        <v>305</v>
      </c>
      <c r="AS33" s="1">
        <v>325</v>
      </c>
      <c r="AT33" s="1">
        <v>345</v>
      </c>
      <c r="AU33" s="1">
        <v>365</v>
      </c>
      <c r="AV33" s="1">
        <v>370</v>
      </c>
      <c r="AW33" s="1">
        <v>395</v>
      </c>
      <c r="AX33" s="1">
        <v>415</v>
      </c>
      <c r="AY33" s="1">
        <v>420</v>
      </c>
      <c r="AZ33" s="1">
        <v>440</v>
      </c>
      <c r="BA33" s="1">
        <v>455</v>
      </c>
      <c r="BB33" s="1">
        <v>480</v>
      </c>
      <c r="BC33" s="1">
        <v>500</v>
      </c>
      <c r="BD33" s="1">
        <v>520</v>
      </c>
      <c r="BE33" s="1">
        <v>525</v>
      </c>
      <c r="BF33" s="1">
        <v>540</v>
      </c>
      <c r="BG33" s="1">
        <v>560</v>
      </c>
      <c r="BH33" s="1">
        <v>570</v>
      </c>
      <c r="BI33" s="1">
        <v>595</v>
      </c>
      <c r="BJ33" s="1">
        <v>615</v>
      </c>
      <c r="BK33" s="1">
        <v>625</v>
      </c>
    </row>
    <row r="34" spans="1:63" ht="16" x14ac:dyDescent="0.2">
      <c r="A34" s="15"/>
      <c r="B34" s="15"/>
      <c r="C34" s="16"/>
      <c r="D34" s="16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63" ht="16" x14ac:dyDescent="0.2">
      <c r="A35" s="15"/>
      <c r="B35" s="15"/>
      <c r="C35" s="16"/>
      <c r="D35" s="16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H35" s="1">
        <f>AH31</f>
        <v>92.6</v>
      </c>
      <c r="AI35" s="1">
        <f>SUM(AH35+AI31)</f>
        <v>198.26</v>
      </c>
      <c r="AJ35" s="1">
        <f>SUM(AI35+AJ31)</f>
        <v>317.48</v>
      </c>
      <c r="AK35" s="1">
        <f t="shared" ref="AK35:BK35" si="21">SUM(AJ35+AK31)</f>
        <v>457.20500000000004</v>
      </c>
      <c r="AL35" s="1">
        <f t="shared" si="21"/>
        <v>608.40499999999997</v>
      </c>
      <c r="AM35" s="1">
        <f t="shared" si="21"/>
        <v>783.03499999999997</v>
      </c>
      <c r="AN35" s="1">
        <f t="shared" si="21"/>
        <v>974.45499999999993</v>
      </c>
      <c r="AO35" s="1">
        <f t="shared" si="21"/>
        <v>1173.5349999999999</v>
      </c>
      <c r="AP35" s="1">
        <f t="shared" si="21"/>
        <v>1382.0049999999999</v>
      </c>
      <c r="AQ35" s="1">
        <f t="shared" si="21"/>
        <v>1613.4449999999999</v>
      </c>
      <c r="AR35" s="1">
        <f t="shared" si="21"/>
        <v>1857.85</v>
      </c>
      <c r="AS35" s="1">
        <f t="shared" si="21"/>
        <v>2116.1849999999999</v>
      </c>
      <c r="AT35" s="1">
        <f t="shared" si="21"/>
        <v>2380.5650000000001</v>
      </c>
      <c r="AU35" s="1">
        <f t="shared" si="21"/>
        <v>2638.9</v>
      </c>
      <c r="AV35" s="1">
        <f t="shared" si="21"/>
        <v>2904.9250000000002</v>
      </c>
      <c r="AW35" s="1">
        <f t="shared" si="21"/>
        <v>3111.59</v>
      </c>
      <c r="AX35" s="1">
        <f t="shared" si="21"/>
        <v>3331.3500000000004</v>
      </c>
      <c r="AY35" s="1">
        <f t="shared" si="21"/>
        <v>3570.3050000000003</v>
      </c>
      <c r="AZ35" s="1">
        <f t="shared" si="21"/>
        <v>3813.7250000000004</v>
      </c>
      <c r="BA35" s="1">
        <f t="shared" si="21"/>
        <v>4055.53</v>
      </c>
      <c r="BB35" s="1">
        <f t="shared" si="21"/>
        <v>4317.0050000000001</v>
      </c>
      <c r="BC35" s="1">
        <f t="shared" si="21"/>
        <v>4618.3950000000004</v>
      </c>
      <c r="BD35" s="1">
        <f t="shared" si="21"/>
        <v>4873.9000000000005</v>
      </c>
      <c r="BE35" s="1">
        <f t="shared" si="21"/>
        <v>5179.6650000000009</v>
      </c>
      <c r="BF35" s="1">
        <f t="shared" si="21"/>
        <v>5474.3400000000011</v>
      </c>
      <c r="BG35" s="1">
        <f t="shared" si="21"/>
        <v>5789.8750000000009</v>
      </c>
      <c r="BH35" s="1">
        <f t="shared" si="21"/>
        <v>6146.5550000000012</v>
      </c>
      <c r="BI35" s="1">
        <f t="shared" si="21"/>
        <v>6461.7150000000011</v>
      </c>
      <c r="BJ35" s="1">
        <f t="shared" si="21"/>
        <v>6779.255000000001</v>
      </c>
      <c r="BK35" s="1">
        <f t="shared" si="21"/>
        <v>7067.3150000000014</v>
      </c>
    </row>
    <row r="36" spans="1:63" ht="16" x14ac:dyDescent="0.2">
      <c r="A36" s="15"/>
      <c r="B36" s="15"/>
      <c r="C36" s="16"/>
      <c r="D36" s="16"/>
      <c r="AH36" s="3"/>
      <c r="AI36" s="3"/>
      <c r="AJ36" s="3"/>
      <c r="AK36" s="1"/>
      <c r="AL36" s="1"/>
      <c r="AM36" s="1"/>
      <c r="AN36" s="6"/>
      <c r="AO36" s="6"/>
      <c r="AP36" s="6"/>
      <c r="AQ36" s="1"/>
    </row>
    <row r="37" spans="1:63" ht="16" x14ac:dyDescent="0.2">
      <c r="A37" s="15"/>
      <c r="B37" s="15"/>
      <c r="C37" s="16"/>
      <c r="D37" s="16"/>
      <c r="AH37" s="1">
        <v>100</v>
      </c>
      <c r="AI37" s="1">
        <f>SUM(AH37+AI33)</f>
        <v>220</v>
      </c>
      <c r="AJ37" s="1">
        <f>SUM(AI37+AJ33)</f>
        <v>355</v>
      </c>
      <c r="AK37" s="1">
        <f t="shared" ref="AK37:BK37" si="22">SUM(AJ37+AK33)</f>
        <v>510</v>
      </c>
      <c r="AL37" s="1">
        <f t="shared" si="22"/>
        <v>685</v>
      </c>
      <c r="AM37" s="1">
        <f t="shared" si="22"/>
        <v>880</v>
      </c>
      <c r="AN37" s="1">
        <f t="shared" si="22"/>
        <v>1120</v>
      </c>
      <c r="AO37" s="1">
        <f t="shared" si="22"/>
        <v>1370</v>
      </c>
      <c r="AP37" s="1">
        <f t="shared" si="22"/>
        <v>1640</v>
      </c>
      <c r="AQ37" s="1">
        <f t="shared" si="22"/>
        <v>1930</v>
      </c>
      <c r="AR37" s="1">
        <f t="shared" si="22"/>
        <v>2235</v>
      </c>
      <c r="AS37" s="1">
        <f t="shared" si="22"/>
        <v>2560</v>
      </c>
      <c r="AT37" s="1">
        <f t="shared" si="22"/>
        <v>2905</v>
      </c>
      <c r="AU37" s="1">
        <f t="shared" si="22"/>
        <v>3270</v>
      </c>
      <c r="AV37" s="1">
        <f t="shared" si="22"/>
        <v>3640</v>
      </c>
      <c r="AW37" s="1">
        <f t="shared" si="22"/>
        <v>4035</v>
      </c>
      <c r="AX37" s="1">
        <f t="shared" si="22"/>
        <v>4450</v>
      </c>
      <c r="AY37" s="1">
        <f t="shared" si="22"/>
        <v>4870</v>
      </c>
      <c r="AZ37" s="1">
        <f t="shared" si="22"/>
        <v>5310</v>
      </c>
      <c r="BA37" s="1">
        <f t="shared" si="22"/>
        <v>5765</v>
      </c>
      <c r="BB37" s="1">
        <f t="shared" si="22"/>
        <v>6245</v>
      </c>
      <c r="BC37" s="1">
        <f t="shared" si="22"/>
        <v>6745</v>
      </c>
      <c r="BD37" s="1">
        <f t="shared" si="22"/>
        <v>7265</v>
      </c>
      <c r="BE37" s="1">
        <f t="shared" si="22"/>
        <v>7790</v>
      </c>
      <c r="BF37" s="1">
        <f t="shared" si="22"/>
        <v>8330</v>
      </c>
      <c r="BG37" s="1">
        <f t="shared" si="22"/>
        <v>8890</v>
      </c>
      <c r="BH37" s="1">
        <f t="shared" si="22"/>
        <v>9460</v>
      </c>
      <c r="BI37" s="1">
        <f t="shared" si="22"/>
        <v>10055</v>
      </c>
      <c r="BJ37" s="1">
        <f t="shared" si="22"/>
        <v>10670</v>
      </c>
      <c r="BK37" s="1">
        <f t="shared" si="22"/>
        <v>11295</v>
      </c>
    </row>
    <row r="38" spans="1:63" ht="16" x14ac:dyDescent="0.2">
      <c r="A38" s="31"/>
      <c r="B38" s="31"/>
      <c r="C38" s="16"/>
      <c r="D38" s="16"/>
    </row>
    <row r="39" spans="1:63" ht="16" x14ac:dyDescent="0.2">
      <c r="A39" s="31"/>
      <c r="B39" s="31"/>
      <c r="C39" s="16"/>
      <c r="D39" s="16"/>
      <c r="AH39" s="4" t="s">
        <v>1563</v>
      </c>
      <c r="AI39" s="4" t="s">
        <v>1563</v>
      </c>
      <c r="AJ39" s="4" t="s">
        <v>1563</v>
      </c>
      <c r="AK39" s="4" t="s">
        <v>1563</v>
      </c>
      <c r="AL39" s="4" t="s">
        <v>1563</v>
      </c>
      <c r="AM39" s="4" t="s">
        <v>1563</v>
      </c>
      <c r="AN39" s="4" t="s">
        <v>1563</v>
      </c>
      <c r="AO39" s="4" t="s">
        <v>1563</v>
      </c>
      <c r="AP39" s="4" t="s">
        <v>1563</v>
      </c>
      <c r="AQ39" s="4" t="s">
        <v>1563</v>
      </c>
      <c r="AR39" s="4" t="s">
        <v>1563</v>
      </c>
      <c r="AS39" s="4" t="s">
        <v>1563</v>
      </c>
      <c r="AT39" s="4" t="s">
        <v>1563</v>
      </c>
      <c r="AU39" s="4" t="s">
        <v>1563</v>
      </c>
      <c r="AV39" s="4" t="s">
        <v>1563</v>
      </c>
      <c r="AW39" s="4" t="s">
        <v>1563</v>
      </c>
      <c r="AX39" s="4" t="s">
        <v>1563</v>
      </c>
      <c r="AY39" s="4" t="s">
        <v>1563</v>
      </c>
      <c r="AZ39" s="4" t="s">
        <v>1563</v>
      </c>
      <c r="BA39" s="4" t="s">
        <v>1563</v>
      </c>
      <c r="BB39" s="4" t="s">
        <v>1563</v>
      </c>
      <c r="BC39" s="4" t="s">
        <v>1563</v>
      </c>
      <c r="BD39" s="4" t="s">
        <v>1563</v>
      </c>
      <c r="BE39" s="4" t="s">
        <v>1563</v>
      </c>
      <c r="BF39" s="4" t="s">
        <v>1563</v>
      </c>
      <c r="BG39" s="4" t="s">
        <v>1563</v>
      </c>
      <c r="BH39" s="4" t="s">
        <v>1563</v>
      </c>
      <c r="BI39" s="4" t="s">
        <v>1563</v>
      </c>
      <c r="BJ39" s="4" t="s">
        <v>1563</v>
      </c>
      <c r="BK39" s="4" t="s">
        <v>1563</v>
      </c>
    </row>
    <row r="40" spans="1:63" ht="16" x14ac:dyDescent="0.2">
      <c r="A40" s="31"/>
      <c r="B40" s="31"/>
      <c r="C40" s="16"/>
      <c r="D40" s="16"/>
      <c r="AH40" s="6">
        <f>(AH35/AH37)*100</f>
        <v>92.6</v>
      </c>
      <c r="AI40" s="6">
        <f>(AI35/AI37)*100</f>
        <v>90.118181818181824</v>
      </c>
      <c r="AJ40" s="6">
        <f>(AJ35/AJ37)*100</f>
        <v>89.430985915492968</v>
      </c>
      <c r="AK40" s="6">
        <f t="shared" ref="AK40:BK40" si="23">(AK35/AK37)*100</f>
        <v>89.648039215686282</v>
      </c>
      <c r="AL40" s="6">
        <f t="shared" si="23"/>
        <v>88.818248175182475</v>
      </c>
      <c r="AM40" s="6">
        <f t="shared" si="23"/>
        <v>88.981250000000003</v>
      </c>
      <c r="AN40" s="6">
        <f t="shared" si="23"/>
        <v>87.004910714285714</v>
      </c>
      <c r="AO40" s="6">
        <f t="shared" si="23"/>
        <v>85.65948905109488</v>
      </c>
      <c r="AP40" s="6">
        <f t="shared" si="23"/>
        <v>84.268597560975593</v>
      </c>
      <c r="AQ40" s="6">
        <f t="shared" si="23"/>
        <v>83.598186528497408</v>
      </c>
      <c r="AR40" s="6">
        <f t="shared" si="23"/>
        <v>83.12527964205816</v>
      </c>
      <c r="AS40" s="6">
        <f t="shared" si="23"/>
        <v>82.663476562499994</v>
      </c>
      <c r="AT40" s="6">
        <f t="shared" si="23"/>
        <v>81.947160068846813</v>
      </c>
      <c r="AU40" s="6">
        <f t="shared" si="23"/>
        <v>80.700305810397552</v>
      </c>
      <c r="AV40" s="6">
        <f t="shared" si="23"/>
        <v>79.805631868131883</v>
      </c>
      <c r="AW40" s="6">
        <f t="shared" si="23"/>
        <v>77.114993804213142</v>
      </c>
      <c r="AX40" s="6">
        <f t="shared" si="23"/>
        <v>74.861797752808997</v>
      </c>
      <c r="AY40" s="6">
        <f t="shared" si="23"/>
        <v>73.312217659137573</v>
      </c>
      <c r="AZ40" s="6">
        <f t="shared" si="23"/>
        <v>71.821563088512249</v>
      </c>
      <c r="BA40" s="6">
        <f t="shared" si="23"/>
        <v>70.347441457068513</v>
      </c>
      <c r="BB40" s="6">
        <f t="shared" si="23"/>
        <v>69.127381905524416</v>
      </c>
      <c r="BC40" s="6">
        <f t="shared" si="23"/>
        <v>68.471386212008895</v>
      </c>
      <c r="BD40" s="6">
        <f t="shared" si="23"/>
        <v>67.087405368203719</v>
      </c>
      <c r="BE40" s="6">
        <f t="shared" si="23"/>
        <v>66.49120667522466</v>
      </c>
      <c r="BF40" s="6">
        <f t="shared" si="23"/>
        <v>65.718367346938791</v>
      </c>
      <c r="BG40" s="6">
        <f t="shared" si="23"/>
        <v>65.127952755905525</v>
      </c>
      <c r="BH40" s="6">
        <f t="shared" si="23"/>
        <v>64.974154334038076</v>
      </c>
      <c r="BI40" s="36">
        <f t="shared" si="23"/>
        <v>64.263699651914479</v>
      </c>
      <c r="BJ40" s="6">
        <f t="shared" si="23"/>
        <v>63.535660731021572</v>
      </c>
      <c r="BK40" s="6">
        <f t="shared" si="23"/>
        <v>62.570296591412145</v>
      </c>
    </row>
    <row r="41" spans="1:63" ht="16" x14ac:dyDescent="0.2">
      <c r="A41" s="31"/>
      <c r="B41" s="31"/>
      <c r="C41" s="16"/>
      <c r="D41" s="16"/>
    </row>
    <row r="42" spans="1:63" ht="16" x14ac:dyDescent="0.2">
      <c r="A42" s="31"/>
      <c r="B42" s="31"/>
      <c r="C42" s="16"/>
      <c r="D42" s="16"/>
    </row>
    <row r="43" spans="1:63" ht="16" x14ac:dyDescent="0.2">
      <c r="A43" s="31"/>
      <c r="B43" s="31"/>
      <c r="C43" s="16"/>
      <c r="D43" s="16"/>
    </row>
    <row r="44" spans="1:63" ht="16" x14ac:dyDescent="0.2">
      <c r="A44" s="31"/>
      <c r="B44" s="31"/>
      <c r="C44" s="16"/>
      <c r="D44" s="16"/>
    </row>
    <row r="45" spans="1:63" ht="16" x14ac:dyDescent="0.2">
      <c r="A45" s="31"/>
      <c r="B45" s="31"/>
      <c r="C45" s="16"/>
      <c r="D45" s="16"/>
    </row>
    <row r="46" spans="1:63" ht="16" x14ac:dyDescent="0.2">
      <c r="A46" s="31"/>
      <c r="B46" s="31"/>
      <c r="C46" s="16"/>
      <c r="D46" s="16"/>
    </row>
    <row r="47" spans="1:63" ht="16" x14ac:dyDescent="0.2">
      <c r="A47" s="31"/>
      <c r="B47" s="31"/>
      <c r="C47" s="16"/>
      <c r="D47" s="16"/>
    </row>
    <row r="48" spans="1:63" ht="16" x14ac:dyDescent="0.2">
      <c r="A48" s="31"/>
      <c r="B48" s="31"/>
      <c r="C48" s="16"/>
      <c r="D48" s="16"/>
    </row>
    <row r="49" spans="1:4" ht="16" x14ac:dyDescent="0.2">
      <c r="A49" s="31"/>
      <c r="B49" s="31"/>
      <c r="C49" s="16"/>
      <c r="D49" s="16"/>
    </row>
    <row r="50" spans="1:4" ht="16" x14ac:dyDescent="0.2">
      <c r="A50" s="31"/>
      <c r="B50" s="31"/>
      <c r="C50" s="16"/>
      <c r="D50" s="16"/>
    </row>
    <row r="51" spans="1:4" ht="16" x14ac:dyDescent="0.2">
      <c r="A51" s="31"/>
      <c r="B51" s="31"/>
      <c r="C51" s="16"/>
      <c r="D51" s="16"/>
    </row>
    <row r="52" spans="1:4" ht="16" x14ac:dyDescent="0.2">
      <c r="A52" s="31"/>
      <c r="B52" s="31"/>
      <c r="C52" s="16"/>
      <c r="D52" s="16"/>
    </row>
    <row r="53" spans="1:4" ht="16" x14ac:dyDescent="0.2">
      <c r="A53" s="31"/>
      <c r="B53" s="31"/>
      <c r="C53" s="16"/>
      <c r="D53" s="16"/>
    </row>
    <row r="54" spans="1:4" ht="16" x14ac:dyDescent="0.2">
      <c r="A54" s="31"/>
      <c r="B54" s="31"/>
      <c r="C54" s="16"/>
      <c r="D54" s="16"/>
    </row>
    <row r="55" spans="1:4" ht="16" x14ac:dyDescent="0.2">
      <c r="A55" s="31"/>
      <c r="B55" s="31"/>
      <c r="C55" s="16"/>
      <c r="D55" s="16"/>
    </row>
    <row r="56" spans="1:4" ht="16" x14ac:dyDescent="0.2">
      <c r="A56" s="31"/>
      <c r="B56" s="31"/>
      <c r="C56" s="16"/>
      <c r="D56" s="16"/>
    </row>
    <row r="57" spans="1:4" ht="16" x14ac:dyDescent="0.2">
      <c r="A57" s="31"/>
      <c r="B57" s="31"/>
      <c r="C57" s="16"/>
      <c r="D57" s="16"/>
    </row>
    <row r="58" spans="1:4" ht="16" x14ac:dyDescent="0.2">
      <c r="A58" s="31"/>
      <c r="B58" s="31"/>
      <c r="C58" s="16"/>
      <c r="D58" s="16"/>
    </row>
    <row r="59" spans="1:4" ht="16" x14ac:dyDescent="0.2">
      <c r="A59" s="31"/>
      <c r="B59" s="31"/>
      <c r="C59" s="16"/>
      <c r="D59" s="16"/>
    </row>
    <row r="60" spans="1:4" ht="16" x14ac:dyDescent="0.2">
      <c r="A60" s="31"/>
      <c r="B60" s="31"/>
      <c r="C60" s="16"/>
      <c r="D60" s="16"/>
    </row>
    <row r="61" spans="1:4" ht="16" x14ac:dyDescent="0.2">
      <c r="A61" s="31"/>
      <c r="B61" s="31"/>
      <c r="C61" s="16"/>
      <c r="D61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Y40"/>
  <sheetViews>
    <sheetView topLeftCell="L1" workbookViewId="0">
      <selection activeCell="O29" sqref="O29:Y29"/>
    </sheetView>
  </sheetViews>
  <sheetFormatPr baseColWidth="10" defaultRowHeight="15" x14ac:dyDescent="0.2"/>
  <cols>
    <col min="1" max="1" width="14.83203125" customWidth="1"/>
    <col min="2" max="2" width="54" customWidth="1"/>
    <col min="3" max="3" width="11.6640625" customWidth="1"/>
  </cols>
  <sheetData>
    <row r="1" spans="1:25" ht="16" x14ac:dyDescent="0.2">
      <c r="A1" s="3" t="s">
        <v>15</v>
      </c>
      <c r="B1" s="24" t="s">
        <v>681</v>
      </c>
      <c r="C1" s="3">
        <v>1990</v>
      </c>
      <c r="D1" s="3">
        <v>1994</v>
      </c>
      <c r="E1" s="3">
        <v>1998</v>
      </c>
      <c r="F1" s="3">
        <v>2002</v>
      </c>
      <c r="G1" s="3">
        <v>2006</v>
      </c>
      <c r="H1" s="3">
        <v>2008</v>
      </c>
      <c r="I1" s="3">
        <v>2011</v>
      </c>
      <c r="J1" s="3">
        <v>2014</v>
      </c>
      <c r="K1" s="3">
        <v>2016</v>
      </c>
      <c r="L1" s="3">
        <v>2020</v>
      </c>
      <c r="M1" s="3">
        <v>2024</v>
      </c>
      <c r="O1" s="3">
        <v>1990</v>
      </c>
      <c r="P1" s="3">
        <v>1994</v>
      </c>
      <c r="Q1" s="3">
        <v>1998</v>
      </c>
      <c r="R1" s="3">
        <v>2002</v>
      </c>
      <c r="S1" s="3">
        <v>2006</v>
      </c>
      <c r="T1" s="3">
        <v>2008</v>
      </c>
      <c r="U1" s="3">
        <v>2011</v>
      </c>
      <c r="V1" s="3">
        <v>2014</v>
      </c>
      <c r="W1" s="3">
        <v>2016</v>
      </c>
      <c r="X1" s="3">
        <v>2020</v>
      </c>
      <c r="Y1" s="3">
        <v>2024</v>
      </c>
    </row>
    <row r="2" spans="1:25" ht="16" x14ac:dyDescent="0.2">
      <c r="A2" s="8" t="s">
        <v>191</v>
      </c>
      <c r="B2" s="16" t="s">
        <v>946</v>
      </c>
      <c r="C2" s="1">
        <v>14.3</v>
      </c>
      <c r="D2" s="1">
        <v>14.3</v>
      </c>
      <c r="E2" s="1">
        <v>28.1</v>
      </c>
      <c r="F2" s="1">
        <v>25</v>
      </c>
      <c r="G2" s="1">
        <v>32.5</v>
      </c>
      <c r="H2" s="1">
        <v>48.8</v>
      </c>
      <c r="I2" s="1">
        <v>39</v>
      </c>
      <c r="J2" s="1">
        <v>43</v>
      </c>
      <c r="K2" s="1">
        <v>39.4</v>
      </c>
      <c r="L2" s="1">
        <v>34.6</v>
      </c>
      <c r="M2" s="1">
        <v>44.6</v>
      </c>
      <c r="O2" s="1">
        <v>14.3</v>
      </c>
      <c r="P2" s="1">
        <f>(D2*0.2)+D2</f>
        <v>17.16</v>
      </c>
      <c r="Q2" s="1">
        <f>(E2*0.4)+E2</f>
        <v>39.340000000000003</v>
      </c>
      <c r="R2" s="1">
        <f>(F2*0.6)+F2</f>
        <v>40</v>
      </c>
      <c r="S2" s="1">
        <f>(G2*0.8)+G2</f>
        <v>58.5</v>
      </c>
      <c r="T2" s="1">
        <f>(H2*0.9)+H2</f>
        <v>92.72</v>
      </c>
      <c r="U2" s="1">
        <f>(I2*1.05)+I2</f>
        <v>79.95</v>
      </c>
      <c r="V2" s="1">
        <f>(J2*1.2)+J2</f>
        <v>94.6</v>
      </c>
      <c r="W2" s="1">
        <f>(K2*1.3)+K2</f>
        <v>90.62</v>
      </c>
      <c r="X2" s="1">
        <f>(L2*1.5)+L2</f>
        <v>86.5</v>
      </c>
      <c r="Y2" s="1">
        <f>(M2*1.7)+M2</f>
        <v>120.42000000000002</v>
      </c>
    </row>
    <row r="3" spans="1:25" ht="16" x14ac:dyDescent="0.2">
      <c r="A3" s="8" t="s">
        <v>192</v>
      </c>
      <c r="B3" s="16" t="s">
        <v>947</v>
      </c>
      <c r="C3" s="1">
        <v>21.8</v>
      </c>
      <c r="D3" s="1">
        <v>29.5</v>
      </c>
      <c r="E3" s="1">
        <v>25.1</v>
      </c>
      <c r="F3" s="1">
        <v>41.4</v>
      </c>
      <c r="G3" s="1">
        <v>23.3</v>
      </c>
      <c r="H3" s="1">
        <v>23.6</v>
      </c>
      <c r="I3" s="1">
        <v>32.799999999999997</v>
      </c>
      <c r="J3" s="1">
        <v>25.3</v>
      </c>
      <c r="K3" s="1">
        <v>37.9</v>
      </c>
      <c r="L3" s="1">
        <v>35.9</v>
      </c>
      <c r="M3" s="1">
        <v>15.8</v>
      </c>
      <c r="O3" s="1">
        <v>21.8</v>
      </c>
      <c r="P3" s="1">
        <f>(D3*0.2)+D3</f>
        <v>35.4</v>
      </c>
      <c r="Q3" s="1">
        <f>(E3*0.4)+E3</f>
        <v>35.14</v>
      </c>
      <c r="R3" s="1">
        <f>(F3*0.6)+F3</f>
        <v>66.239999999999995</v>
      </c>
      <c r="S3" s="1">
        <f>(G3*0.8)+G3</f>
        <v>41.94</v>
      </c>
      <c r="T3" s="1">
        <f>(H3*0.9)+H3</f>
        <v>44.84</v>
      </c>
      <c r="U3" s="1">
        <f>(I3*1.05)+I3</f>
        <v>67.239999999999995</v>
      </c>
      <c r="V3" s="1">
        <f>(J3*1.2)+J3</f>
        <v>55.66</v>
      </c>
      <c r="W3" s="1">
        <f>(K3*1.3)+K3</f>
        <v>87.17</v>
      </c>
      <c r="X3" s="1">
        <f>(L3*1.5)+L3</f>
        <v>89.75</v>
      </c>
      <c r="Y3" s="1">
        <f t="shared" ref="Y3" si="0">(M3*1.7)+M3</f>
        <v>42.66</v>
      </c>
    </row>
    <row r="4" spans="1:25" ht="16" x14ac:dyDescent="0.2">
      <c r="A4" s="8" t="s">
        <v>195</v>
      </c>
      <c r="B4" s="16" t="s">
        <v>948</v>
      </c>
      <c r="C4" s="1">
        <v>15.4</v>
      </c>
      <c r="D4" s="1">
        <v>8.8000000000000007</v>
      </c>
      <c r="E4" s="1">
        <v>19.3</v>
      </c>
      <c r="F4" s="1">
        <v>2.4</v>
      </c>
      <c r="G4" s="1"/>
      <c r="H4" s="1">
        <v>0.7</v>
      </c>
      <c r="I4" s="1"/>
      <c r="J4" s="1"/>
      <c r="K4" s="1">
        <v>0.1</v>
      </c>
      <c r="L4" s="1"/>
      <c r="M4" s="1"/>
      <c r="O4" s="1">
        <v>15.4</v>
      </c>
      <c r="P4" s="1">
        <f>(D4*0.2)+D4</f>
        <v>10.56</v>
      </c>
      <c r="Q4" s="1">
        <f>(E4*0.4)+E4</f>
        <v>27.020000000000003</v>
      </c>
      <c r="R4" s="1">
        <f>(F4*0.6)+F4</f>
        <v>3.84</v>
      </c>
      <c r="S4" s="1"/>
      <c r="T4" s="1">
        <f>(H4*0.9)+H4</f>
        <v>1.33</v>
      </c>
      <c r="U4" s="1"/>
      <c r="Y4" s="1"/>
    </row>
    <row r="5" spans="1:25" ht="16" x14ac:dyDescent="0.2">
      <c r="A5" s="8" t="s">
        <v>197</v>
      </c>
      <c r="B5" s="16" t="s">
        <v>949</v>
      </c>
      <c r="C5" s="1">
        <v>7.2</v>
      </c>
      <c r="D5" s="1">
        <v>0.7</v>
      </c>
      <c r="E5" s="1">
        <v>4.7</v>
      </c>
      <c r="F5" s="1">
        <v>2.2000000000000002</v>
      </c>
      <c r="G5" s="1"/>
      <c r="H5" s="1"/>
      <c r="I5" s="1"/>
      <c r="J5" s="1"/>
      <c r="K5" s="1"/>
      <c r="L5" s="1"/>
      <c r="M5" s="1"/>
      <c r="O5" s="1">
        <v>7.2</v>
      </c>
      <c r="P5" s="1">
        <f>(D5*0.2)+D5</f>
        <v>0.84</v>
      </c>
      <c r="Q5" s="1">
        <f>(E5*0.4)+E5</f>
        <v>6.58</v>
      </c>
      <c r="R5" s="1">
        <f>(F5*0.6)+F5</f>
        <v>3.5200000000000005</v>
      </c>
      <c r="S5" s="1"/>
      <c r="T5" s="1"/>
      <c r="U5" s="1"/>
      <c r="Y5" s="1"/>
    </row>
    <row r="6" spans="1:25" ht="16" x14ac:dyDescent="0.2">
      <c r="A6" s="8" t="s">
        <v>183</v>
      </c>
      <c r="B6" s="16" t="s">
        <v>851</v>
      </c>
      <c r="C6" s="3"/>
      <c r="D6" s="1"/>
      <c r="E6" s="1">
        <v>7</v>
      </c>
      <c r="F6" s="1"/>
      <c r="G6" s="1"/>
      <c r="H6" s="1"/>
      <c r="I6" s="1">
        <v>1.5</v>
      </c>
      <c r="J6" s="1"/>
      <c r="K6" s="1"/>
      <c r="L6" s="1"/>
      <c r="M6" s="1"/>
      <c r="O6" s="3"/>
      <c r="P6" s="1"/>
      <c r="Q6" s="1">
        <v>7</v>
      </c>
      <c r="R6" s="1"/>
      <c r="S6" s="1"/>
      <c r="T6" s="1"/>
      <c r="U6" s="1">
        <f>(I6*0.65)+I6</f>
        <v>2.4750000000000001</v>
      </c>
      <c r="Y6" s="1"/>
    </row>
    <row r="7" spans="1:25" ht="16" x14ac:dyDescent="0.2">
      <c r="A7" s="8" t="s">
        <v>1548</v>
      </c>
      <c r="B7" s="16" t="s">
        <v>1550</v>
      </c>
      <c r="C7" s="3"/>
      <c r="D7" s="1"/>
      <c r="E7" s="1"/>
      <c r="F7" s="1"/>
      <c r="G7" s="1"/>
      <c r="H7" s="1"/>
      <c r="I7" s="1"/>
      <c r="J7" s="1"/>
      <c r="K7" s="1"/>
      <c r="L7" s="1"/>
      <c r="M7" s="1">
        <v>10.9</v>
      </c>
      <c r="O7" s="3"/>
      <c r="P7" s="1"/>
      <c r="Q7" s="1"/>
      <c r="R7" s="1"/>
      <c r="S7" s="1"/>
      <c r="T7" s="1"/>
      <c r="U7" s="1"/>
      <c r="Y7" s="1">
        <v>10.9</v>
      </c>
    </row>
    <row r="8" spans="1:25" ht="16" x14ac:dyDescent="0.2">
      <c r="A8" s="8" t="s">
        <v>1549</v>
      </c>
      <c r="B8" s="16" t="s">
        <v>1426</v>
      </c>
      <c r="C8" s="3"/>
      <c r="D8" s="1"/>
      <c r="E8" s="1"/>
      <c r="F8" s="1"/>
      <c r="G8" s="1"/>
      <c r="H8" s="1"/>
      <c r="I8" s="1"/>
      <c r="J8" s="1"/>
      <c r="K8" s="14">
        <v>3</v>
      </c>
      <c r="L8" s="1">
        <v>9</v>
      </c>
      <c r="O8" s="3"/>
      <c r="P8" s="1"/>
      <c r="Q8" s="1"/>
      <c r="R8" s="1"/>
      <c r="S8" s="1"/>
      <c r="T8" s="1"/>
      <c r="U8" s="1"/>
      <c r="W8" s="1">
        <v>3</v>
      </c>
      <c r="X8" s="1">
        <f>(L8*0.2)+L8</f>
        <v>10.8</v>
      </c>
      <c r="Y8" s="1"/>
    </row>
    <row r="9" spans="1:25" ht="16" x14ac:dyDescent="0.2">
      <c r="A9" s="8" t="s">
        <v>1427</v>
      </c>
      <c r="B9" s="16" t="s">
        <v>971</v>
      </c>
      <c r="C9" s="3"/>
      <c r="D9" s="1"/>
      <c r="E9" s="1"/>
      <c r="F9" s="1"/>
      <c r="G9" s="1"/>
      <c r="H9" s="1"/>
      <c r="I9" s="1"/>
      <c r="J9" s="1"/>
      <c r="K9" s="1">
        <v>1.1000000000000001</v>
      </c>
      <c r="L9" s="1">
        <v>4.0999999999999996</v>
      </c>
      <c r="M9" s="1">
        <v>7</v>
      </c>
      <c r="O9" s="3"/>
      <c r="P9" s="1"/>
      <c r="Q9" s="1"/>
      <c r="R9" s="1"/>
      <c r="S9" s="1"/>
      <c r="T9" s="1"/>
      <c r="U9" s="1"/>
      <c r="W9" s="1">
        <v>1</v>
      </c>
      <c r="X9" s="1">
        <f>(L9*0.2)+L9</f>
        <v>4.92</v>
      </c>
      <c r="Y9" s="1">
        <f t="shared" ref="Y9" si="1">(M9*0.4)+M9</f>
        <v>9.8000000000000007</v>
      </c>
    </row>
    <row r="10" spans="1:25" ht="16" x14ac:dyDescent="0.2">
      <c r="A10" s="8" t="s">
        <v>194</v>
      </c>
      <c r="B10" s="16" t="s">
        <v>950</v>
      </c>
      <c r="C10" s="3"/>
      <c r="D10" s="1"/>
      <c r="E10" s="1"/>
      <c r="F10" s="3">
        <v>5.3</v>
      </c>
      <c r="G10" s="1">
        <v>7.5</v>
      </c>
      <c r="H10" s="1">
        <v>8.3000000000000007</v>
      </c>
      <c r="I10" s="1">
        <v>5.9</v>
      </c>
      <c r="J10" s="1">
        <v>5.9</v>
      </c>
      <c r="K10" s="1">
        <v>2.7</v>
      </c>
      <c r="L10" s="1">
        <v>1.5</v>
      </c>
      <c r="M10" s="1"/>
      <c r="O10" s="3"/>
      <c r="P10" s="1"/>
      <c r="Q10" s="1"/>
      <c r="R10" s="1">
        <f>(F10*0.2)+F10</f>
        <v>6.3599999999999994</v>
      </c>
      <c r="S10" s="1">
        <f>(G10*0.4)+G10</f>
        <v>10.5</v>
      </c>
      <c r="T10" s="1">
        <f>(H10*0.5)+H10</f>
        <v>12.450000000000001</v>
      </c>
      <c r="U10" s="1">
        <f>(I10*0.65)+I10</f>
        <v>9.7350000000000012</v>
      </c>
      <c r="V10" s="1">
        <f>(J10*0.8)+J10</f>
        <v>10.620000000000001</v>
      </c>
      <c r="W10" s="1">
        <f>(K10*0.9)+K10</f>
        <v>5.1300000000000008</v>
      </c>
      <c r="X10" s="1">
        <f>(L10*1.1)+L10</f>
        <v>3.1500000000000004</v>
      </c>
      <c r="Y10" s="1"/>
    </row>
    <row r="11" spans="1:25" ht="16" x14ac:dyDescent="0.2">
      <c r="A11" s="8" t="s">
        <v>193</v>
      </c>
      <c r="B11" s="16" t="s">
        <v>951</v>
      </c>
      <c r="C11" s="3"/>
      <c r="D11" s="1"/>
      <c r="E11" s="1"/>
      <c r="F11" s="1">
        <v>12.1</v>
      </c>
      <c r="G11" s="1">
        <v>12.2</v>
      </c>
      <c r="H11" s="1">
        <v>12.8</v>
      </c>
      <c r="I11" s="1">
        <v>10.199999999999999</v>
      </c>
      <c r="J11" s="1">
        <v>13.7</v>
      </c>
      <c r="K11" s="1">
        <v>7.5</v>
      </c>
      <c r="L11" s="1">
        <v>11.5</v>
      </c>
      <c r="M11" s="1">
        <v>14.1</v>
      </c>
      <c r="O11" s="3"/>
      <c r="P11" s="1"/>
      <c r="Q11" s="1"/>
      <c r="R11" s="1">
        <v>12.1</v>
      </c>
      <c r="S11" s="1">
        <f>(G11*0.2)+G11</f>
        <v>14.639999999999999</v>
      </c>
      <c r="T11" s="1">
        <f>(H11*0.3)+H11</f>
        <v>16.64</v>
      </c>
      <c r="U11" s="1">
        <f>(I11*0.45)+I11</f>
        <v>14.79</v>
      </c>
      <c r="V11" s="1">
        <f>(J11*0.6)+J11</f>
        <v>21.919999999999998</v>
      </c>
      <c r="W11" s="1">
        <f>(K11*0.7)+K11</f>
        <v>12.75</v>
      </c>
      <c r="X11" s="1">
        <f>(L11*0.9)+L11</f>
        <v>21.85</v>
      </c>
      <c r="Y11" s="1">
        <f>(M11*1.1)+M11</f>
        <v>29.61</v>
      </c>
    </row>
    <row r="12" spans="1:25" ht="16" x14ac:dyDescent="0.2">
      <c r="A12" s="8" t="s">
        <v>1546</v>
      </c>
      <c r="B12" s="16" t="s">
        <v>1547</v>
      </c>
      <c r="C12" s="3"/>
      <c r="D12" s="1"/>
      <c r="E12" s="1"/>
      <c r="F12" s="1"/>
      <c r="G12" s="1"/>
      <c r="H12" s="1"/>
      <c r="I12" s="1"/>
      <c r="J12" s="1"/>
      <c r="K12" s="1"/>
      <c r="L12" s="1"/>
      <c r="M12" s="1">
        <v>5.7</v>
      </c>
      <c r="O12" s="3"/>
      <c r="P12" s="1"/>
      <c r="Q12" s="1"/>
      <c r="R12" s="1"/>
      <c r="S12" s="1"/>
      <c r="T12" s="1"/>
      <c r="U12" s="1"/>
      <c r="V12" s="1"/>
      <c r="W12" s="1"/>
      <c r="X12" s="1"/>
      <c r="Y12" s="1">
        <v>5.7</v>
      </c>
    </row>
    <row r="13" spans="1:25" ht="16" x14ac:dyDescent="0.2">
      <c r="A13" s="8" t="s">
        <v>551</v>
      </c>
      <c r="B13" s="16" t="s">
        <v>952</v>
      </c>
      <c r="C13" s="1"/>
      <c r="D13" s="1"/>
      <c r="E13" s="1"/>
      <c r="F13" s="1"/>
      <c r="G13" s="1">
        <v>6.1</v>
      </c>
      <c r="H13" s="1"/>
      <c r="I13" s="1">
        <v>2.5</v>
      </c>
      <c r="J13" s="1">
        <v>1.5</v>
      </c>
      <c r="K13" s="3">
        <v>2.1</v>
      </c>
      <c r="L13" s="3"/>
      <c r="M13" s="3"/>
      <c r="O13" s="1"/>
      <c r="P13" s="1"/>
      <c r="Q13" s="1"/>
      <c r="R13" s="1"/>
      <c r="S13" s="1">
        <v>6.1</v>
      </c>
      <c r="T13" s="1"/>
      <c r="U13" s="1">
        <f>(I13*0.25)+I13</f>
        <v>3.125</v>
      </c>
      <c r="V13" s="1">
        <f>(J13*0.4)+J13</f>
        <v>2.1</v>
      </c>
      <c r="W13" s="1">
        <f>(K13*0.5)+K13</f>
        <v>3.1500000000000004</v>
      </c>
    </row>
    <row r="14" spans="1:25" ht="16" x14ac:dyDescent="0.2">
      <c r="A14" s="15" t="s">
        <v>552</v>
      </c>
      <c r="B14" s="16" t="s">
        <v>953</v>
      </c>
      <c r="C14" s="26">
        <v>4</v>
      </c>
      <c r="D14" s="1">
        <v>1.2</v>
      </c>
      <c r="E14" s="1">
        <v>0.5</v>
      </c>
      <c r="F14" s="1">
        <v>0.2</v>
      </c>
      <c r="G14" s="1"/>
      <c r="H14" s="1"/>
      <c r="I14" s="1"/>
      <c r="J14" s="1"/>
      <c r="K14" s="1"/>
      <c r="L14" s="1"/>
      <c r="M14" s="1"/>
      <c r="O14" s="26">
        <v>4</v>
      </c>
      <c r="P14" s="1">
        <f>(D14*0.2)+D14</f>
        <v>1.44</v>
      </c>
      <c r="Q14" s="1">
        <f>(E14*0.4)+E14</f>
        <v>0.7</v>
      </c>
      <c r="R14" s="1">
        <f>(F14*0.6)+F14</f>
        <v>0.32</v>
      </c>
      <c r="S14" s="1"/>
      <c r="T14" s="1"/>
      <c r="U14" s="1"/>
    </row>
    <row r="15" spans="1:25" ht="16" x14ac:dyDescent="0.2">
      <c r="A15" s="15" t="s">
        <v>138</v>
      </c>
      <c r="B15" s="16" t="s">
        <v>714</v>
      </c>
      <c r="C15" s="26">
        <v>5.8</v>
      </c>
      <c r="D15" s="1">
        <v>3</v>
      </c>
      <c r="E15" s="1"/>
      <c r="F15" s="1"/>
      <c r="G15" s="1"/>
      <c r="H15" s="1"/>
      <c r="I15" s="1"/>
      <c r="J15" s="1"/>
      <c r="K15" s="1"/>
      <c r="L15" s="1"/>
      <c r="M15" s="1"/>
      <c r="O15" s="26">
        <v>5.8</v>
      </c>
      <c r="P15" s="1">
        <f>(D15*0.2)+D15</f>
        <v>3.6</v>
      </c>
      <c r="Q15" s="1"/>
      <c r="R15" s="1"/>
      <c r="S15" s="1"/>
      <c r="T15" s="1"/>
      <c r="U15" s="1"/>
    </row>
    <row r="16" spans="1:25" ht="16" x14ac:dyDescent="0.2">
      <c r="A16" s="15" t="s">
        <v>553</v>
      </c>
      <c r="B16" s="16" t="s">
        <v>954</v>
      </c>
      <c r="C16" s="26">
        <v>13.3</v>
      </c>
      <c r="D16" s="1">
        <v>1.5</v>
      </c>
      <c r="E16" s="1"/>
      <c r="F16" s="1"/>
      <c r="G16" s="1"/>
      <c r="H16" s="1"/>
      <c r="I16" s="1"/>
      <c r="J16" s="1"/>
      <c r="K16" s="3">
        <v>0.3</v>
      </c>
      <c r="L16" s="3"/>
      <c r="M16" s="3"/>
      <c r="O16" s="26">
        <v>13.3</v>
      </c>
      <c r="P16" s="1">
        <f>(D16*0.2)+D16</f>
        <v>1.8</v>
      </c>
      <c r="Q16" s="1"/>
      <c r="R16" s="1"/>
      <c r="S16" s="1"/>
      <c r="T16" s="1"/>
      <c r="U16" s="1"/>
      <c r="W16" s="1">
        <f>(K16*0.7)+K16</f>
        <v>0.51</v>
      </c>
    </row>
    <row r="17" spans="1:25" ht="16" x14ac:dyDescent="0.2">
      <c r="A17" s="15" t="s">
        <v>362</v>
      </c>
      <c r="B17" s="16" t="s">
        <v>955</v>
      </c>
      <c r="C17" s="15"/>
      <c r="D17" s="1"/>
      <c r="E17" s="1">
        <v>10.7</v>
      </c>
      <c r="F17" s="1">
        <v>1.5</v>
      </c>
      <c r="G17" s="1">
        <v>1.2</v>
      </c>
      <c r="H17" s="1"/>
      <c r="I17" s="1"/>
      <c r="J17" s="1"/>
      <c r="K17" s="1"/>
      <c r="L17" s="1"/>
      <c r="M17" s="1"/>
      <c r="O17" s="1"/>
      <c r="P17" s="1"/>
      <c r="Q17" s="1">
        <v>10.7</v>
      </c>
      <c r="R17" s="1">
        <f>(F17*0.2)+F17</f>
        <v>1.8</v>
      </c>
      <c r="S17" s="1">
        <f>(G17*0.4)+G17</f>
        <v>1.68</v>
      </c>
      <c r="T17" s="1"/>
      <c r="U17" s="1"/>
    </row>
    <row r="18" spans="1:25" ht="16" x14ac:dyDescent="0.2">
      <c r="A18" s="15" t="s">
        <v>104</v>
      </c>
      <c r="B18" s="16" t="s">
        <v>744</v>
      </c>
      <c r="C18" s="15"/>
      <c r="D18" s="1">
        <v>11</v>
      </c>
      <c r="E18" s="1"/>
      <c r="F18" s="1"/>
      <c r="G18" s="1"/>
      <c r="H18" s="1"/>
      <c r="I18" s="1"/>
      <c r="J18" s="1"/>
      <c r="K18" s="1"/>
      <c r="L18" s="1"/>
      <c r="M18" s="1"/>
      <c r="O18" s="1"/>
      <c r="P18" s="1">
        <v>11</v>
      </c>
      <c r="Q18" s="1"/>
      <c r="R18" s="1"/>
      <c r="S18" s="1"/>
      <c r="T18" s="1"/>
      <c r="U18" s="1"/>
    </row>
    <row r="19" spans="1:25" ht="16" x14ac:dyDescent="0.2">
      <c r="A19" s="15" t="s">
        <v>1329</v>
      </c>
      <c r="B19" s="16" t="s">
        <v>1330</v>
      </c>
      <c r="C19" s="15"/>
      <c r="D19" s="1"/>
      <c r="E19" s="1"/>
      <c r="F19" s="1"/>
      <c r="G19" s="1"/>
      <c r="H19" s="1"/>
      <c r="I19" s="1"/>
      <c r="J19" s="1"/>
      <c r="K19" s="1">
        <v>5</v>
      </c>
      <c r="L19" s="1"/>
      <c r="M19" s="1"/>
      <c r="O19" s="1"/>
      <c r="P19" s="1"/>
      <c r="Q19" s="1"/>
      <c r="R19" s="1"/>
      <c r="S19" s="1"/>
      <c r="T19" s="1"/>
      <c r="U19" s="1"/>
      <c r="W19" s="1">
        <v>5</v>
      </c>
    </row>
    <row r="20" spans="1:25" ht="16" x14ac:dyDescent="0.2">
      <c r="A20" s="8" t="s">
        <v>196</v>
      </c>
      <c r="B20" s="16" t="s">
        <v>956</v>
      </c>
      <c r="C20" s="3"/>
      <c r="G20" s="1">
        <v>6.1</v>
      </c>
      <c r="O20" s="1"/>
      <c r="P20" s="1"/>
      <c r="Q20" s="1"/>
      <c r="S20" s="1">
        <v>6.1</v>
      </c>
      <c r="T20" s="1"/>
      <c r="U20" s="1"/>
    </row>
    <row r="21" spans="1:25" x14ac:dyDescent="0.2">
      <c r="N21" s="3" t="s">
        <v>14</v>
      </c>
      <c r="O21" s="1">
        <f t="shared" ref="O21:T21" si="2">SUM(O2:O20)</f>
        <v>81.8</v>
      </c>
      <c r="P21" s="1">
        <f t="shared" si="2"/>
        <v>81.8</v>
      </c>
      <c r="Q21" s="1">
        <f t="shared" si="2"/>
        <v>126.48</v>
      </c>
      <c r="R21" s="1">
        <f t="shared" si="2"/>
        <v>134.18</v>
      </c>
      <c r="S21" s="1">
        <f t="shared" si="2"/>
        <v>139.46</v>
      </c>
      <c r="T21" s="1">
        <f t="shared" si="2"/>
        <v>167.98000000000002</v>
      </c>
      <c r="U21" s="1">
        <f t="shared" ref="U21:Y21" si="3">SUM(U2:U20)</f>
        <v>177.315</v>
      </c>
      <c r="V21" s="1">
        <f t="shared" si="3"/>
        <v>184.89999999999998</v>
      </c>
      <c r="W21" s="1">
        <f t="shared" si="3"/>
        <v>208.33</v>
      </c>
      <c r="X21" s="1">
        <f t="shared" si="3"/>
        <v>216.97</v>
      </c>
      <c r="Y21" s="1">
        <f t="shared" si="3"/>
        <v>219.09000000000003</v>
      </c>
    </row>
    <row r="23" spans="1:25" x14ac:dyDescent="0.2">
      <c r="O23" s="1">
        <v>100</v>
      </c>
      <c r="P23" s="1">
        <v>120</v>
      </c>
      <c r="Q23" s="1">
        <v>140</v>
      </c>
      <c r="R23" s="1">
        <v>160</v>
      </c>
      <c r="S23" s="1">
        <v>180</v>
      </c>
      <c r="T23" s="1">
        <v>190</v>
      </c>
      <c r="U23" s="1">
        <v>205</v>
      </c>
      <c r="V23" s="1">
        <v>220</v>
      </c>
      <c r="W23" s="1">
        <v>230</v>
      </c>
      <c r="X23" s="1">
        <v>250</v>
      </c>
      <c r="Y23" s="1">
        <v>270</v>
      </c>
    </row>
    <row r="25" spans="1:25" x14ac:dyDescent="0.2">
      <c r="O25" s="1">
        <f>O21</f>
        <v>81.8</v>
      </c>
      <c r="P25" s="1">
        <f>SUM(O25+P21)</f>
        <v>163.6</v>
      </c>
      <c r="Q25" s="1">
        <f>SUM(P25+Q21)</f>
        <v>290.08</v>
      </c>
      <c r="R25" s="1">
        <f>SUM(Q25+R21)</f>
        <v>424.26</v>
      </c>
      <c r="S25" s="1">
        <f t="shared" ref="S25:Y25" si="4">SUM(R25+S21)</f>
        <v>563.72</v>
      </c>
      <c r="T25" s="1">
        <f t="shared" si="4"/>
        <v>731.7</v>
      </c>
      <c r="U25" s="1">
        <f t="shared" si="4"/>
        <v>909.0150000000001</v>
      </c>
      <c r="V25" s="1">
        <f t="shared" si="4"/>
        <v>1093.915</v>
      </c>
      <c r="W25" s="1">
        <f t="shared" si="4"/>
        <v>1302.2449999999999</v>
      </c>
      <c r="X25" s="1">
        <f t="shared" si="4"/>
        <v>1519.2149999999999</v>
      </c>
      <c r="Y25" s="1">
        <f t="shared" si="4"/>
        <v>1738.3049999999998</v>
      </c>
    </row>
    <row r="26" spans="1:25" ht="16" x14ac:dyDescent="0.2">
      <c r="A26" s="15"/>
      <c r="B26" s="15"/>
      <c r="C26" s="15"/>
      <c r="D26" s="16"/>
      <c r="E26" s="16"/>
      <c r="O26" s="3"/>
      <c r="P26" s="3"/>
      <c r="Q26" s="3"/>
      <c r="S26" s="3"/>
      <c r="T26" s="3"/>
    </row>
    <row r="27" spans="1:25" ht="16" x14ac:dyDescent="0.2">
      <c r="A27" s="15"/>
      <c r="B27" s="15"/>
      <c r="C27" s="15"/>
      <c r="D27" s="16"/>
      <c r="E27" s="16"/>
      <c r="O27" s="1">
        <v>100</v>
      </c>
      <c r="P27" s="1">
        <f>SUM(O27+P23)</f>
        <v>220</v>
      </c>
      <c r="Q27" s="1">
        <f>SUM(P27+Q23)</f>
        <v>360</v>
      </c>
      <c r="R27" s="1">
        <f>SUM(Q27+R23)</f>
        <v>520</v>
      </c>
      <c r="S27" s="1">
        <f t="shared" ref="S27:Y27" si="5">SUM(R27+S23)</f>
        <v>700</v>
      </c>
      <c r="T27" s="1">
        <f t="shared" si="5"/>
        <v>890</v>
      </c>
      <c r="U27" s="1">
        <f t="shared" si="5"/>
        <v>1095</v>
      </c>
      <c r="V27" s="1">
        <f t="shared" si="5"/>
        <v>1315</v>
      </c>
      <c r="W27" s="1">
        <f t="shared" si="5"/>
        <v>1545</v>
      </c>
      <c r="X27" s="1">
        <f t="shared" si="5"/>
        <v>1795</v>
      </c>
      <c r="Y27" s="1">
        <f t="shared" si="5"/>
        <v>2065</v>
      </c>
    </row>
    <row r="28" spans="1:25" ht="16" x14ac:dyDescent="0.2">
      <c r="A28" s="15"/>
      <c r="B28" s="15"/>
      <c r="C28" s="15"/>
      <c r="D28" s="16"/>
      <c r="E28" s="16"/>
    </row>
    <row r="29" spans="1:25" ht="16" x14ac:dyDescent="0.2">
      <c r="A29" s="15"/>
      <c r="B29" s="15"/>
      <c r="C29" s="15"/>
      <c r="D29" s="16"/>
      <c r="E29" s="16"/>
      <c r="O29" s="4" t="s">
        <v>1563</v>
      </c>
      <c r="P29" s="4" t="s">
        <v>1563</v>
      </c>
      <c r="Q29" s="4" t="s">
        <v>1563</v>
      </c>
      <c r="R29" s="4" t="s">
        <v>1563</v>
      </c>
      <c r="S29" s="4" t="s">
        <v>1563</v>
      </c>
      <c r="T29" s="4" t="s">
        <v>1563</v>
      </c>
      <c r="U29" s="4" t="s">
        <v>1563</v>
      </c>
      <c r="V29" s="4" t="s">
        <v>1563</v>
      </c>
      <c r="W29" s="4" t="s">
        <v>1563</v>
      </c>
      <c r="X29" s="4" t="s">
        <v>1563</v>
      </c>
      <c r="Y29" s="4" t="s">
        <v>1563</v>
      </c>
    </row>
    <row r="30" spans="1:25" ht="16" x14ac:dyDescent="0.2">
      <c r="A30" s="15"/>
      <c r="B30" s="15"/>
      <c r="C30" s="15"/>
      <c r="D30" s="16"/>
      <c r="E30" s="16"/>
      <c r="O30" s="6">
        <f>(O25/O27)*100</f>
        <v>81.8</v>
      </c>
      <c r="P30" s="6">
        <f>(P25/P27)*100</f>
        <v>74.36363636363636</v>
      </c>
      <c r="Q30" s="6">
        <f>(Q25/Q27)*100</f>
        <v>80.577777777777769</v>
      </c>
      <c r="R30" s="6">
        <f>(R25/R27)*100</f>
        <v>81.58846153846153</v>
      </c>
      <c r="S30" s="6">
        <f t="shared" ref="S30:Y30" si="6">(S25/S27)*100</f>
        <v>80.531428571428577</v>
      </c>
      <c r="T30" s="6">
        <f t="shared" si="6"/>
        <v>82.213483146067418</v>
      </c>
      <c r="U30" s="6">
        <f t="shared" si="6"/>
        <v>83.015068493150693</v>
      </c>
      <c r="V30" s="6">
        <f t="shared" si="6"/>
        <v>83.187452471482885</v>
      </c>
      <c r="W30" s="5">
        <f t="shared" si="6"/>
        <v>84.287702265372161</v>
      </c>
      <c r="X30" s="5">
        <f t="shared" si="6"/>
        <v>84.635933147632301</v>
      </c>
      <c r="Y30" s="5">
        <f t="shared" si="6"/>
        <v>84.179418886198548</v>
      </c>
    </row>
    <row r="31" spans="1:25" ht="16" x14ac:dyDescent="0.2">
      <c r="A31" s="15"/>
      <c r="B31" s="15"/>
      <c r="C31" s="15"/>
      <c r="D31" s="16"/>
      <c r="E31" s="16"/>
    </row>
    <row r="32" spans="1:25" ht="16" x14ac:dyDescent="0.2">
      <c r="A32" s="15"/>
      <c r="B32" s="15"/>
      <c r="C32" s="15"/>
      <c r="D32" s="16"/>
      <c r="E32" s="16"/>
    </row>
    <row r="33" spans="1:5" ht="16" x14ac:dyDescent="0.2">
      <c r="A33" s="15"/>
      <c r="B33" s="15"/>
      <c r="C33" s="15"/>
      <c r="D33" s="16"/>
      <c r="E33" s="16"/>
    </row>
    <row r="34" spans="1:5" ht="16" x14ac:dyDescent="0.2">
      <c r="A34" s="15"/>
      <c r="B34" s="15"/>
      <c r="C34" s="15"/>
      <c r="D34" s="16"/>
      <c r="E34" s="16"/>
    </row>
    <row r="35" spans="1:5" ht="16" x14ac:dyDescent="0.2">
      <c r="A35" s="15"/>
      <c r="B35" s="15"/>
      <c r="C35" s="15"/>
      <c r="D35" s="16"/>
      <c r="E35" s="16"/>
    </row>
    <row r="36" spans="1:5" ht="16" x14ac:dyDescent="0.2">
      <c r="A36" s="15"/>
      <c r="B36" s="15"/>
      <c r="C36" s="15"/>
      <c r="D36" s="16"/>
      <c r="E36" s="16"/>
    </row>
    <row r="37" spans="1:5" ht="16" x14ac:dyDescent="0.2">
      <c r="A37" s="15"/>
      <c r="B37" s="15"/>
      <c r="C37" s="15"/>
      <c r="D37" s="16"/>
      <c r="E37" s="16"/>
    </row>
    <row r="38" spans="1:5" ht="16" x14ac:dyDescent="0.2">
      <c r="A38" s="15"/>
      <c r="B38" s="15"/>
      <c r="C38" s="15"/>
      <c r="D38" s="16"/>
      <c r="E38" s="16"/>
    </row>
    <row r="39" spans="1:5" ht="16" x14ac:dyDescent="0.2">
      <c r="A39" s="15"/>
      <c r="B39" s="15"/>
      <c r="C39" s="15"/>
      <c r="D39" s="16"/>
      <c r="E39" s="16"/>
    </row>
    <row r="40" spans="1:5" ht="16" x14ac:dyDescent="0.2">
      <c r="A40" s="15"/>
      <c r="B40" s="15"/>
      <c r="C40" s="15"/>
      <c r="D40" s="16"/>
      <c r="E40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BQ39"/>
  <sheetViews>
    <sheetView topLeftCell="Z1" workbookViewId="0">
      <selection activeCell="AJ26" sqref="AJ26:BO26"/>
    </sheetView>
  </sheetViews>
  <sheetFormatPr baseColWidth="10" defaultRowHeight="15" x14ac:dyDescent="0.2"/>
  <cols>
    <col min="2" max="2" width="27" customWidth="1"/>
  </cols>
  <sheetData>
    <row r="1" spans="1:68" ht="16" x14ac:dyDescent="0.2">
      <c r="A1" s="3" t="s">
        <v>15</v>
      </c>
      <c r="B1" s="24" t="s">
        <v>681</v>
      </c>
      <c r="C1" s="3">
        <v>1903</v>
      </c>
      <c r="D1" s="3">
        <v>1906</v>
      </c>
      <c r="E1" s="3">
        <v>1909</v>
      </c>
      <c r="F1" s="3">
        <v>1912</v>
      </c>
      <c r="G1" s="3">
        <v>1915</v>
      </c>
      <c r="H1" s="3">
        <v>1918</v>
      </c>
      <c r="I1" s="3">
        <v>1921</v>
      </c>
      <c r="J1" s="3">
        <v>1924</v>
      </c>
      <c r="K1" s="3">
        <v>1927</v>
      </c>
      <c r="L1" s="3">
        <v>1930</v>
      </c>
      <c r="M1" s="3">
        <v>1933</v>
      </c>
      <c r="N1" s="3">
        <v>1936</v>
      </c>
      <c r="O1" s="3">
        <v>1945</v>
      </c>
      <c r="P1" s="3">
        <v>1949</v>
      </c>
      <c r="Q1" s="3">
        <v>1953</v>
      </c>
      <c r="R1" s="3">
        <v>1957</v>
      </c>
      <c r="S1" s="3">
        <v>1961</v>
      </c>
      <c r="T1" s="3">
        <v>1965</v>
      </c>
      <c r="U1" s="3">
        <v>1969</v>
      </c>
      <c r="V1" s="3">
        <v>1973</v>
      </c>
      <c r="W1" s="3">
        <v>1977</v>
      </c>
      <c r="X1" s="3">
        <v>1981</v>
      </c>
      <c r="Y1" s="3">
        <v>1985</v>
      </c>
      <c r="Z1" s="3">
        <v>1989</v>
      </c>
      <c r="AA1" s="3">
        <v>1993</v>
      </c>
      <c r="AB1" s="3">
        <v>1997</v>
      </c>
      <c r="AC1" s="3">
        <v>2001</v>
      </c>
      <c r="AD1" s="3">
        <v>2005</v>
      </c>
      <c r="AE1" s="3">
        <v>2009</v>
      </c>
      <c r="AF1" s="3">
        <v>2013</v>
      </c>
      <c r="AG1" s="3">
        <v>2017</v>
      </c>
      <c r="AH1" s="3">
        <v>2021</v>
      </c>
      <c r="AI1" s="3"/>
      <c r="AJ1" s="3">
        <v>1903</v>
      </c>
      <c r="AK1" s="3">
        <v>1906</v>
      </c>
      <c r="AL1" s="3">
        <v>1909</v>
      </c>
      <c r="AM1" s="3">
        <v>1912</v>
      </c>
      <c r="AN1" s="3">
        <v>1915</v>
      </c>
      <c r="AO1" s="3">
        <v>1918</v>
      </c>
      <c r="AP1" s="3">
        <v>1921</v>
      </c>
      <c r="AQ1" s="3">
        <v>1924</v>
      </c>
      <c r="AR1" s="3">
        <v>1927</v>
      </c>
      <c r="AS1" s="3">
        <v>1930</v>
      </c>
      <c r="AT1" s="3">
        <v>1933</v>
      </c>
      <c r="AU1" s="3">
        <v>1936</v>
      </c>
      <c r="AV1" s="3">
        <v>1945</v>
      </c>
      <c r="AW1" s="3">
        <v>1949</v>
      </c>
      <c r="AX1" s="3">
        <v>1953</v>
      </c>
      <c r="AY1" s="3">
        <v>1957</v>
      </c>
      <c r="AZ1" s="3">
        <v>1961</v>
      </c>
      <c r="BA1" s="3">
        <v>1965</v>
      </c>
      <c r="BB1" s="3">
        <v>1969</v>
      </c>
      <c r="BC1" s="3">
        <v>1973</v>
      </c>
      <c r="BD1" s="3">
        <v>1977</v>
      </c>
      <c r="BE1" s="3">
        <v>1981</v>
      </c>
      <c r="BF1" s="3">
        <v>1985</v>
      </c>
      <c r="BG1" s="3">
        <v>1989</v>
      </c>
      <c r="BH1" s="3">
        <v>1993</v>
      </c>
      <c r="BI1" s="3">
        <v>1997</v>
      </c>
      <c r="BJ1" s="3">
        <v>2001</v>
      </c>
      <c r="BK1" s="3">
        <v>2005</v>
      </c>
      <c r="BL1" s="3">
        <v>2009</v>
      </c>
      <c r="BM1" s="3">
        <v>2013</v>
      </c>
      <c r="BN1" s="3">
        <v>2017</v>
      </c>
      <c r="BO1" s="3">
        <v>2021</v>
      </c>
    </row>
    <row r="2" spans="1:68" ht="16" x14ac:dyDescent="0.2">
      <c r="A2" s="8" t="s">
        <v>258</v>
      </c>
      <c r="B2" s="16" t="s">
        <v>696</v>
      </c>
      <c r="C2" s="1">
        <v>44.8</v>
      </c>
      <c r="D2" s="1">
        <v>32.799999999999997</v>
      </c>
      <c r="E2" s="1">
        <v>41.5</v>
      </c>
      <c r="F2" s="1">
        <v>33.200000000000003</v>
      </c>
      <c r="G2" s="1">
        <v>29</v>
      </c>
      <c r="H2" s="1">
        <v>30.4</v>
      </c>
      <c r="I2" s="1">
        <v>33.299999999999997</v>
      </c>
      <c r="J2" s="1">
        <v>32.5</v>
      </c>
      <c r="K2" s="1">
        <v>24</v>
      </c>
      <c r="L2" s="1">
        <v>27.4</v>
      </c>
      <c r="M2" s="1">
        <v>20.2</v>
      </c>
      <c r="N2" s="1">
        <v>21.3</v>
      </c>
      <c r="O2" s="1">
        <v>17</v>
      </c>
      <c r="P2" s="1">
        <v>20.5</v>
      </c>
      <c r="Q2" s="1">
        <v>18.899999999999999</v>
      </c>
      <c r="R2" s="1">
        <v>19.3</v>
      </c>
      <c r="S2" s="1">
        <v>20.399999999999999</v>
      </c>
      <c r="T2" s="1">
        <v>21.4</v>
      </c>
      <c r="U2" s="1">
        <v>18.8</v>
      </c>
      <c r="V2" s="1">
        <v>17.2</v>
      </c>
      <c r="W2" s="1">
        <v>24.5</v>
      </c>
      <c r="X2" s="1">
        <v>31.7</v>
      </c>
      <c r="Y2" s="1">
        <v>30.4</v>
      </c>
      <c r="Z2" s="1">
        <v>22.2</v>
      </c>
      <c r="AA2" s="1">
        <v>17</v>
      </c>
      <c r="AB2" s="1">
        <v>14.3</v>
      </c>
      <c r="AC2" s="1">
        <v>21.2</v>
      </c>
      <c r="AD2" s="1">
        <v>14.1</v>
      </c>
      <c r="AE2" s="1">
        <v>17.2</v>
      </c>
      <c r="AF2" s="1">
        <v>26.8</v>
      </c>
      <c r="AG2" s="1">
        <v>25</v>
      </c>
      <c r="AH2" s="1">
        <v>20.5</v>
      </c>
      <c r="AI2" s="16"/>
      <c r="AJ2" s="1">
        <v>44.8</v>
      </c>
      <c r="AK2" s="1">
        <f>(D2*0.15)+D2</f>
        <v>37.72</v>
      </c>
      <c r="AL2" s="1">
        <f>(E2*0.3)+E2</f>
        <v>53.95</v>
      </c>
      <c r="AM2" s="1">
        <f>(F2*0.45)+F2</f>
        <v>48.14</v>
      </c>
      <c r="AN2" s="1">
        <f>(G2*0.6)+G2</f>
        <v>46.4</v>
      </c>
      <c r="AO2" s="1">
        <f>(H2*0.75)+H2</f>
        <v>53.199999999999996</v>
      </c>
      <c r="AP2" s="1">
        <f>(I2*0.9)+I2</f>
        <v>63.269999999999996</v>
      </c>
      <c r="AQ2" s="1">
        <f>(J2*1.05)+J2</f>
        <v>66.625</v>
      </c>
      <c r="AR2" s="1">
        <f>(K2*1.2)+K2</f>
        <v>52.8</v>
      </c>
      <c r="AS2" s="1">
        <f>(L2*1.35)+L2</f>
        <v>64.39</v>
      </c>
      <c r="AT2" s="1">
        <f>(M2*1.5)+M2</f>
        <v>50.5</v>
      </c>
      <c r="AU2" s="1">
        <f>(N2*1.65)+N2</f>
        <v>56.444999999999993</v>
      </c>
      <c r="AV2" s="1">
        <f>(O2*2.1)+O2</f>
        <v>52.7</v>
      </c>
      <c r="AW2" s="1">
        <f>(P2*2.3)+P2</f>
        <v>67.650000000000006</v>
      </c>
      <c r="AX2" s="1">
        <f>(Q2*2.5)+Q2</f>
        <v>66.150000000000006</v>
      </c>
      <c r="AY2" s="1">
        <f>(R2*2.7)+R2</f>
        <v>71.410000000000011</v>
      </c>
      <c r="AZ2" s="1">
        <f>(S2*2.9)+S2</f>
        <v>79.56</v>
      </c>
      <c r="BA2" s="1">
        <f>(T2*3.1)+T2</f>
        <v>87.740000000000009</v>
      </c>
      <c r="BB2" s="1">
        <f>(U2*3.3)+U2</f>
        <v>80.84</v>
      </c>
      <c r="BC2" s="1">
        <f>(V2*3.5)+V2</f>
        <v>77.399999999999991</v>
      </c>
      <c r="BD2" s="1">
        <f>(W2*3.7)+W2</f>
        <v>115.15</v>
      </c>
      <c r="BE2" s="1">
        <f>(X2*3.9)+X2</f>
        <v>155.32999999999998</v>
      </c>
      <c r="BF2" s="1">
        <f>(Y2*4.1)+Y2</f>
        <v>155.04</v>
      </c>
      <c r="BG2" s="1">
        <f>(Z2*4.3)+Z2</f>
        <v>117.66</v>
      </c>
      <c r="BH2" s="1">
        <f>(AA2*4.5)+AA2</f>
        <v>93.5</v>
      </c>
      <c r="BI2" s="1">
        <f>(AB2*4.7)+AB2</f>
        <v>81.510000000000005</v>
      </c>
      <c r="BJ2" s="1">
        <f>(AC2*4.9)+AC2</f>
        <v>125.08000000000001</v>
      </c>
      <c r="BK2" s="1">
        <f>(AD2*5.1)+AD2</f>
        <v>86.009999999999991</v>
      </c>
      <c r="BL2" s="1">
        <f>(AE2*5.3)+AE2</f>
        <v>108.36</v>
      </c>
      <c r="BM2" s="1">
        <f>(AF2*5.5)+AF2</f>
        <v>174.20000000000002</v>
      </c>
      <c r="BN2" s="1">
        <f>(AG2*5.7)+AG2</f>
        <v>167.5</v>
      </c>
      <c r="BO2" s="1">
        <f>(AH2*5.9)+AH2</f>
        <v>141.44999999999999</v>
      </c>
    </row>
    <row r="3" spans="1:68" ht="16" x14ac:dyDescent="0.2">
      <c r="A3" s="8" t="s">
        <v>142</v>
      </c>
      <c r="B3" s="16" t="s">
        <v>698</v>
      </c>
      <c r="C3" s="1">
        <v>42.7</v>
      </c>
      <c r="D3" s="1">
        <v>45.1</v>
      </c>
      <c r="E3" s="1">
        <v>30.4</v>
      </c>
      <c r="F3" s="1">
        <v>40</v>
      </c>
      <c r="G3" s="1">
        <v>33.1</v>
      </c>
      <c r="H3" s="1">
        <v>28.3</v>
      </c>
      <c r="I3" s="1">
        <v>20.100000000000001</v>
      </c>
      <c r="J3" s="1">
        <v>18.600000000000001</v>
      </c>
      <c r="K3" s="1">
        <v>17.3</v>
      </c>
      <c r="L3" s="1">
        <v>20.2</v>
      </c>
      <c r="M3" s="1">
        <v>17.7</v>
      </c>
      <c r="N3" s="1">
        <v>16</v>
      </c>
      <c r="O3" s="1">
        <v>13.8</v>
      </c>
      <c r="P3" s="1">
        <v>13.7</v>
      </c>
      <c r="Q3" s="1">
        <v>10</v>
      </c>
      <c r="R3" s="1">
        <v>9.9</v>
      </c>
      <c r="S3" s="1">
        <v>7.2</v>
      </c>
      <c r="T3" s="1">
        <v>10.199999999999999</v>
      </c>
      <c r="U3" s="1">
        <v>9.4</v>
      </c>
      <c r="V3" s="1">
        <v>2.2999999999999998</v>
      </c>
      <c r="W3" s="1">
        <v>2.4</v>
      </c>
      <c r="X3" s="1">
        <v>3.2</v>
      </c>
      <c r="Y3" s="1">
        <v>3.1</v>
      </c>
      <c r="Z3" s="1">
        <v>3.2</v>
      </c>
      <c r="AA3" s="1">
        <v>3.6</v>
      </c>
      <c r="AB3" s="1">
        <v>4.5</v>
      </c>
      <c r="AC3" s="1">
        <v>3.9</v>
      </c>
      <c r="AD3" s="1">
        <v>5.9</v>
      </c>
      <c r="AE3" s="1">
        <v>3.9</v>
      </c>
      <c r="AF3" s="1">
        <v>5.2</v>
      </c>
      <c r="AG3" s="1">
        <v>4.4000000000000004</v>
      </c>
      <c r="AH3" s="1">
        <v>4.5999999999999996</v>
      </c>
      <c r="AI3" s="16"/>
      <c r="AJ3" s="1">
        <v>42.7</v>
      </c>
      <c r="AK3" s="1">
        <f t="shared" ref="AK3:AK4" si="0">(D3*0.15)+D3</f>
        <v>51.865000000000002</v>
      </c>
      <c r="AL3" s="1">
        <f t="shared" ref="AL3:AL4" si="1">(E3*0.3)+E3</f>
        <v>39.519999999999996</v>
      </c>
      <c r="AM3" s="1">
        <f t="shared" ref="AM3:AM4" si="2">(F3*0.45)+F3</f>
        <v>58</v>
      </c>
      <c r="AN3" s="1">
        <f t="shared" ref="AN3:AN4" si="3">(G3*0.6)+G3</f>
        <v>52.96</v>
      </c>
      <c r="AO3" s="1">
        <f t="shared" ref="AO3:AO4" si="4">(H3*0.75)+H3</f>
        <v>49.525000000000006</v>
      </c>
      <c r="AP3" s="1">
        <f t="shared" ref="AP3:AP4" si="5">(I3*0.9)+I3</f>
        <v>38.190000000000005</v>
      </c>
      <c r="AQ3" s="1">
        <f t="shared" ref="AQ3:AQ4" si="6">(J3*1.05)+J3</f>
        <v>38.130000000000003</v>
      </c>
      <c r="AR3" s="1">
        <f t="shared" ref="AR3:AR4" si="7">(K3*1.2)+K3</f>
        <v>38.06</v>
      </c>
      <c r="AS3" s="1">
        <f t="shared" ref="AS3:AS4" si="8">(L3*1.35)+L3</f>
        <v>47.47</v>
      </c>
      <c r="AT3" s="1">
        <f t="shared" ref="AT3:AT4" si="9">(M3*1.5)+M3</f>
        <v>44.25</v>
      </c>
      <c r="AU3" s="1">
        <f t="shared" ref="AU3:AU4" si="10">(N3*1.65)+N3</f>
        <v>42.4</v>
      </c>
      <c r="AV3" s="1">
        <f t="shared" ref="AV3:AV4" si="11">(O3*2.1)+O3</f>
        <v>42.78</v>
      </c>
      <c r="AW3" s="1">
        <f t="shared" ref="AW3:AW4" si="12">(P3*2.3)+P3</f>
        <v>45.209999999999994</v>
      </c>
      <c r="AX3" s="1">
        <f t="shared" ref="AX3:AX4" si="13">(Q3*2.5)+Q3</f>
        <v>35</v>
      </c>
      <c r="AY3" s="1">
        <f t="shared" ref="AY3:AY4" si="14">(R3*2.7)+R3</f>
        <v>36.630000000000003</v>
      </c>
      <c r="AZ3" s="1">
        <f t="shared" ref="AZ3:AZ4" si="15">(S3*2.9)+S3</f>
        <v>28.08</v>
      </c>
      <c r="BA3" s="1">
        <f t="shared" ref="BA3:BA4" si="16">(T3*3.1)+T3</f>
        <v>41.819999999999993</v>
      </c>
      <c r="BB3" s="1">
        <f t="shared" ref="BB3:BB4" si="17">(U3*3.3)+U3</f>
        <v>40.42</v>
      </c>
      <c r="BC3" s="1">
        <f t="shared" ref="BC3:BC4" si="18">(V3*3.5)+V3</f>
        <v>10.349999999999998</v>
      </c>
      <c r="BD3" s="1">
        <f t="shared" ref="BD3:BD4" si="19">(W3*3.7)+W3</f>
        <v>11.280000000000001</v>
      </c>
      <c r="BE3" s="1">
        <f t="shared" ref="BE3:BE4" si="20">(X3*3.9)+X3</f>
        <v>15.68</v>
      </c>
      <c r="BF3" s="1">
        <f t="shared" ref="BF3:BF4" si="21">(Y3*4.1)+Y3</f>
        <v>15.809999999999999</v>
      </c>
      <c r="BG3" s="1">
        <f t="shared" ref="BG3:BG4" si="22">(Z3*4.3)+Z3</f>
        <v>16.96</v>
      </c>
      <c r="BH3" s="1">
        <f t="shared" ref="BH3:BH4" si="23">(AA3*4.5)+AA3</f>
        <v>19.8</v>
      </c>
      <c r="BI3" s="1">
        <f t="shared" ref="BI3:BI4" si="24">(AB3*4.7)+AB3</f>
        <v>25.650000000000002</v>
      </c>
      <c r="BJ3" s="1">
        <f t="shared" ref="BJ3:BJ4" si="25">(AC3*4.9)+AC3</f>
        <v>23.009999999999998</v>
      </c>
      <c r="BK3" s="1">
        <f t="shared" ref="BK3:BK4" si="26">(AD3*5.1)+AD3</f>
        <v>35.99</v>
      </c>
      <c r="BL3" s="1">
        <f t="shared" ref="BL3:BL4" si="27">(AE3*5.3)+AE3</f>
        <v>24.569999999999997</v>
      </c>
      <c r="BM3" s="1">
        <f t="shared" ref="BM3:BM4" si="28">(AF3*5.5)+AF3</f>
        <v>33.800000000000004</v>
      </c>
      <c r="BN3" s="1">
        <f t="shared" ref="BN3:BN4" si="29">(AG3*5.7)+AG3</f>
        <v>29.480000000000004</v>
      </c>
      <c r="BO3" s="1">
        <f t="shared" ref="BO3:BO4" si="30">(AH3*5.9)+AH3</f>
        <v>31.740000000000002</v>
      </c>
    </row>
    <row r="4" spans="1:68" ht="16" x14ac:dyDescent="0.2">
      <c r="A4" s="8" t="s">
        <v>80</v>
      </c>
      <c r="B4" s="16" t="s">
        <v>697</v>
      </c>
      <c r="C4" s="1">
        <v>9.6999999999999993</v>
      </c>
      <c r="D4" s="1">
        <v>16</v>
      </c>
      <c r="E4" s="1">
        <v>21.6</v>
      </c>
      <c r="F4" s="1">
        <v>26.3</v>
      </c>
      <c r="G4" s="1">
        <v>32.1</v>
      </c>
      <c r="H4" s="1">
        <v>31.6</v>
      </c>
      <c r="I4" s="1">
        <v>21.3</v>
      </c>
      <c r="J4" s="1">
        <v>18.399999999999999</v>
      </c>
      <c r="K4" s="1">
        <v>36.799999999999997</v>
      </c>
      <c r="L4" s="1">
        <v>31.4</v>
      </c>
      <c r="M4" s="1">
        <v>40.1</v>
      </c>
      <c r="N4" s="1">
        <v>42.5</v>
      </c>
      <c r="O4" s="1">
        <v>41</v>
      </c>
      <c r="P4" s="1">
        <v>45.7</v>
      </c>
      <c r="Q4" s="1">
        <v>46.7</v>
      </c>
      <c r="R4" s="1">
        <v>48.3</v>
      </c>
      <c r="S4" s="1">
        <v>46.8</v>
      </c>
      <c r="T4" s="1">
        <v>43.1</v>
      </c>
      <c r="U4" s="1">
        <v>46.5</v>
      </c>
      <c r="V4" s="1">
        <v>35.299999999999997</v>
      </c>
      <c r="W4" s="1">
        <v>42.3</v>
      </c>
      <c r="X4" s="1">
        <v>37.200000000000003</v>
      </c>
      <c r="Y4" s="1">
        <v>40.799999999999997</v>
      </c>
      <c r="Z4" s="1">
        <v>34.299999999999997</v>
      </c>
      <c r="AA4" s="1">
        <v>36.9</v>
      </c>
      <c r="AB4" s="1">
        <v>35</v>
      </c>
      <c r="AC4" s="1">
        <v>24.3</v>
      </c>
      <c r="AD4" s="1">
        <v>32.700000000000003</v>
      </c>
      <c r="AE4" s="1">
        <v>35.4</v>
      </c>
      <c r="AF4" s="1">
        <v>30.8</v>
      </c>
      <c r="AG4" s="1">
        <v>27.4</v>
      </c>
      <c r="AH4" s="1">
        <v>26.3</v>
      </c>
      <c r="AI4" s="16"/>
      <c r="AJ4" s="1">
        <v>9.6999999999999993</v>
      </c>
      <c r="AK4" s="1">
        <f t="shared" si="0"/>
        <v>18.399999999999999</v>
      </c>
      <c r="AL4" s="1">
        <f t="shared" si="1"/>
        <v>28.080000000000002</v>
      </c>
      <c r="AM4" s="1">
        <f t="shared" si="2"/>
        <v>38.135000000000005</v>
      </c>
      <c r="AN4" s="1">
        <f t="shared" si="3"/>
        <v>51.36</v>
      </c>
      <c r="AO4" s="1">
        <f t="shared" si="4"/>
        <v>55.300000000000004</v>
      </c>
      <c r="AP4" s="1">
        <f t="shared" si="5"/>
        <v>40.47</v>
      </c>
      <c r="AQ4" s="1">
        <f t="shared" si="6"/>
        <v>37.72</v>
      </c>
      <c r="AR4" s="1">
        <f t="shared" si="7"/>
        <v>80.959999999999994</v>
      </c>
      <c r="AS4" s="1">
        <f t="shared" si="8"/>
        <v>73.789999999999992</v>
      </c>
      <c r="AT4" s="1">
        <f t="shared" si="9"/>
        <v>100.25</v>
      </c>
      <c r="AU4" s="1">
        <f t="shared" si="10"/>
        <v>112.625</v>
      </c>
      <c r="AV4" s="1">
        <f t="shared" si="11"/>
        <v>127.10000000000001</v>
      </c>
      <c r="AW4" s="1">
        <f t="shared" si="12"/>
        <v>150.81</v>
      </c>
      <c r="AX4" s="1">
        <f t="shared" si="13"/>
        <v>163.44999999999999</v>
      </c>
      <c r="AY4" s="1">
        <f t="shared" si="14"/>
        <v>178.70999999999998</v>
      </c>
      <c r="AZ4" s="1">
        <f t="shared" si="15"/>
        <v>182.51999999999998</v>
      </c>
      <c r="BA4" s="1">
        <f t="shared" si="16"/>
        <v>176.71</v>
      </c>
      <c r="BB4" s="1">
        <f t="shared" si="17"/>
        <v>199.95</v>
      </c>
      <c r="BC4" s="1">
        <f t="shared" si="18"/>
        <v>158.84999999999997</v>
      </c>
      <c r="BD4" s="1">
        <f t="shared" si="19"/>
        <v>198.81</v>
      </c>
      <c r="BE4" s="1">
        <f t="shared" si="20"/>
        <v>182.28000000000003</v>
      </c>
      <c r="BF4" s="1">
        <f t="shared" si="21"/>
        <v>208.07999999999998</v>
      </c>
      <c r="BG4" s="1">
        <f t="shared" si="22"/>
        <v>181.78999999999996</v>
      </c>
      <c r="BH4" s="1">
        <f t="shared" si="23"/>
        <v>202.95</v>
      </c>
      <c r="BI4" s="1">
        <f t="shared" si="24"/>
        <v>199.5</v>
      </c>
      <c r="BJ4" s="1">
        <f t="shared" si="25"/>
        <v>143.37</v>
      </c>
      <c r="BK4" s="1">
        <f t="shared" si="26"/>
        <v>199.47000000000003</v>
      </c>
      <c r="BL4" s="1">
        <f t="shared" si="27"/>
        <v>223.01999999999998</v>
      </c>
      <c r="BM4" s="1">
        <f t="shared" si="28"/>
        <v>200.20000000000002</v>
      </c>
      <c r="BN4" s="1">
        <f t="shared" si="29"/>
        <v>183.58</v>
      </c>
      <c r="BO4" s="1">
        <f t="shared" si="30"/>
        <v>181.47000000000003</v>
      </c>
    </row>
    <row r="5" spans="1:68" ht="16" x14ac:dyDescent="0.2">
      <c r="A5" s="8" t="s">
        <v>286</v>
      </c>
      <c r="B5" s="16" t="s">
        <v>898</v>
      </c>
      <c r="C5" s="1"/>
      <c r="D5" s="1">
        <v>4.8</v>
      </c>
      <c r="E5" s="1">
        <v>3.7</v>
      </c>
      <c r="F5" s="1"/>
      <c r="G5" s="1">
        <v>4.2</v>
      </c>
      <c r="H5" s="1">
        <v>3.3</v>
      </c>
      <c r="I5" s="1">
        <v>2.5</v>
      </c>
      <c r="J5" s="1">
        <v>1.8</v>
      </c>
      <c r="K5" s="1">
        <v>1.3</v>
      </c>
      <c r="L5" s="1">
        <v>0.8</v>
      </c>
      <c r="M5" s="1">
        <v>0.5</v>
      </c>
      <c r="N5" s="1">
        <v>0.4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8"/>
      <c r="AI5" s="16"/>
      <c r="AJ5" s="1"/>
      <c r="AK5" s="1">
        <v>4.8</v>
      </c>
      <c r="AL5" s="1">
        <f>(E5*0.15)+E5</f>
        <v>4.2549999999999999</v>
      </c>
      <c r="AM5" s="1"/>
      <c r="AN5" s="1">
        <f>(G5*0.45)+G5</f>
        <v>6.09</v>
      </c>
      <c r="AO5" s="1">
        <f>(H5*0.6)+H5</f>
        <v>5.2799999999999994</v>
      </c>
      <c r="AP5" s="1">
        <f>(I5*0.75)+I5</f>
        <v>4.375</v>
      </c>
      <c r="AQ5" s="1">
        <f>(J5*0.9)+J5</f>
        <v>3.42</v>
      </c>
      <c r="AR5" s="1">
        <f>(K5*1.05)+K5</f>
        <v>2.665</v>
      </c>
      <c r="AS5" s="1">
        <f>(L5*1.2)+L5</f>
        <v>1.76</v>
      </c>
      <c r="AT5" s="1">
        <f>(M5*1.35)+M5</f>
        <v>1.175</v>
      </c>
      <c r="AU5" s="1">
        <f>(N5*1.5)+N5</f>
        <v>1</v>
      </c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8" ht="16" x14ac:dyDescent="0.2">
      <c r="A6" s="8" t="s">
        <v>287</v>
      </c>
      <c r="B6" s="16" t="s">
        <v>899</v>
      </c>
      <c r="C6" s="1"/>
      <c r="D6" s="1"/>
      <c r="E6" s="1" t="s">
        <v>24</v>
      </c>
      <c r="F6" s="3"/>
      <c r="G6" s="1"/>
      <c r="H6" s="1"/>
      <c r="I6" s="1"/>
      <c r="J6" s="1"/>
      <c r="K6" s="3">
        <v>1.4</v>
      </c>
      <c r="L6" s="1">
        <v>2.6</v>
      </c>
      <c r="M6" s="1">
        <v>1.6</v>
      </c>
      <c r="N6" s="1">
        <v>1.3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8"/>
      <c r="AI6" s="16"/>
      <c r="AJ6" s="1"/>
      <c r="AK6" s="1"/>
      <c r="AL6" s="1" t="s">
        <v>24</v>
      </c>
      <c r="AM6" s="1"/>
      <c r="AN6" s="1"/>
      <c r="AO6" s="1"/>
      <c r="AP6" s="1"/>
      <c r="AQ6" s="1"/>
      <c r="AR6" s="1">
        <f>(K6*0.9)+K6</f>
        <v>2.66</v>
      </c>
      <c r="AS6" s="1">
        <f>(L6*1.05)+L6</f>
        <v>5.33</v>
      </c>
      <c r="AT6" s="1">
        <f>(M6*1.3)+M6</f>
        <v>3.68</v>
      </c>
      <c r="AU6" s="1">
        <f>(N6*1.45)+N6</f>
        <v>3.1850000000000001</v>
      </c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8" ht="16" x14ac:dyDescent="0.2">
      <c r="A7" s="8" t="s">
        <v>288</v>
      </c>
      <c r="B7" s="16" t="s">
        <v>765</v>
      </c>
      <c r="C7" s="1"/>
      <c r="D7" s="1"/>
      <c r="E7" s="1"/>
      <c r="F7" s="1"/>
      <c r="G7" s="1">
        <v>1</v>
      </c>
      <c r="H7" s="1">
        <v>4.7</v>
      </c>
      <c r="I7" s="1">
        <v>13.1</v>
      </c>
      <c r="J7" s="1">
        <v>13.5</v>
      </c>
      <c r="K7" s="1">
        <v>14.9</v>
      </c>
      <c r="L7" s="1">
        <v>15.9</v>
      </c>
      <c r="M7" s="1">
        <v>13.9</v>
      </c>
      <c r="N7" s="1">
        <v>11.5</v>
      </c>
      <c r="O7" s="1">
        <v>8</v>
      </c>
      <c r="P7" s="1">
        <v>4.9000000000000004</v>
      </c>
      <c r="Q7" s="1">
        <v>8.8000000000000007</v>
      </c>
      <c r="R7" s="1">
        <v>8.6</v>
      </c>
      <c r="S7" s="1">
        <v>10.9</v>
      </c>
      <c r="T7" s="1">
        <v>10.1</v>
      </c>
      <c r="U7" s="1">
        <v>9</v>
      </c>
      <c r="V7" s="1">
        <v>12.3</v>
      </c>
      <c r="W7" s="1">
        <v>8</v>
      </c>
      <c r="X7" s="1">
        <v>7.8</v>
      </c>
      <c r="Y7" s="1">
        <v>6.6</v>
      </c>
      <c r="Z7" s="1">
        <v>6.5</v>
      </c>
      <c r="AA7" s="1">
        <v>16.7</v>
      </c>
      <c r="AB7" s="1">
        <v>7.9</v>
      </c>
      <c r="AC7" s="1">
        <v>5.6</v>
      </c>
      <c r="AD7" s="1">
        <v>6.5</v>
      </c>
      <c r="AE7" s="1">
        <v>6.2</v>
      </c>
      <c r="AF7" s="1">
        <v>5.5</v>
      </c>
      <c r="AG7" s="1">
        <v>10.3</v>
      </c>
      <c r="AH7" s="1">
        <v>13.6</v>
      </c>
      <c r="AI7" s="16"/>
      <c r="AJ7" s="1"/>
      <c r="AK7" s="1"/>
      <c r="AL7" s="1"/>
      <c r="AM7" s="1"/>
      <c r="AN7" s="1">
        <v>1</v>
      </c>
      <c r="AO7" s="1">
        <f>(H7*0.15)+H7</f>
        <v>5.4050000000000002</v>
      </c>
      <c r="AP7" s="1">
        <f>(I7*0.3)+I7</f>
        <v>17.03</v>
      </c>
      <c r="AQ7" s="1">
        <f>(J7*0.45)+J7</f>
        <v>19.574999999999999</v>
      </c>
      <c r="AR7" s="1">
        <f>(K7*0.6)+K7</f>
        <v>23.84</v>
      </c>
      <c r="AS7" s="1">
        <f>(L7*0.75)+L7</f>
        <v>27.825000000000003</v>
      </c>
      <c r="AT7" s="1">
        <f>(M7*0.9)+M7</f>
        <v>26.41</v>
      </c>
      <c r="AU7" s="1">
        <f>(N7*1.05)+N7</f>
        <v>23.575000000000003</v>
      </c>
      <c r="AV7" s="1">
        <f>(O7*1.5)+O7</f>
        <v>20</v>
      </c>
      <c r="AW7" s="1">
        <f>(P7*1.7)+P7</f>
        <v>13.23</v>
      </c>
      <c r="AX7" s="1">
        <f>(Q7*1.9)+Q7</f>
        <v>25.52</v>
      </c>
      <c r="AY7" s="1">
        <f>(R7*2.1)+R7</f>
        <v>26.659999999999997</v>
      </c>
      <c r="AZ7" s="1">
        <f t="shared" ref="AZ7" si="31">(S7*2.3)+S7</f>
        <v>35.97</v>
      </c>
      <c r="BA7" s="1">
        <f t="shared" ref="BA7" si="32">(T7*2.5)+T7</f>
        <v>35.35</v>
      </c>
      <c r="BB7" s="1">
        <f t="shared" ref="BB7" si="33">(U7*2.7)+U7</f>
        <v>33.299999999999997</v>
      </c>
      <c r="BC7" s="1">
        <f t="shared" ref="BC7" si="34">(V7*2.9)+V7</f>
        <v>47.97</v>
      </c>
      <c r="BD7" s="1">
        <f t="shared" ref="BD7" si="35">(W7*3.1)+W7</f>
        <v>32.799999999999997</v>
      </c>
      <c r="BE7" s="1">
        <f t="shared" ref="BE7" si="36">(X7*3.3)+X7</f>
        <v>33.54</v>
      </c>
      <c r="BF7" s="1">
        <f t="shared" ref="BF7" si="37">(Y7*3.5)+Y7</f>
        <v>29.699999999999996</v>
      </c>
      <c r="BG7" s="1">
        <f t="shared" ref="BG7" si="38">(Z7*3.7)+Z7</f>
        <v>30.55</v>
      </c>
      <c r="BH7" s="1">
        <f t="shared" ref="BH7" si="39">(AA7*3.9)+AA7</f>
        <v>81.83</v>
      </c>
      <c r="BI7" s="1">
        <f t="shared" ref="BI7" si="40">(AB7*4.1)+AB7</f>
        <v>40.29</v>
      </c>
      <c r="BJ7" s="1">
        <f t="shared" ref="BJ7" si="41">(AC7*4.3)+AC7</f>
        <v>29.68</v>
      </c>
      <c r="BK7" s="1">
        <f t="shared" ref="BK7" si="42">(AD7*4.5)+AD7</f>
        <v>35.75</v>
      </c>
      <c r="BL7" s="1">
        <f t="shared" ref="BL7" si="43">(AE7*4.7)+AE7</f>
        <v>35.340000000000003</v>
      </c>
      <c r="BM7" s="1">
        <f t="shared" ref="BM7" si="44">(AF7*4.9)+AF7</f>
        <v>32.450000000000003</v>
      </c>
      <c r="BN7" s="1">
        <f>(AG7*5.1)+AG7</f>
        <v>62.83</v>
      </c>
      <c r="BO7" s="1">
        <f>(AH7*5.3)+AH7</f>
        <v>85.679999999999993</v>
      </c>
      <c r="BP7" s="1"/>
    </row>
    <row r="8" spans="1:68" ht="16" x14ac:dyDescent="0.2">
      <c r="A8" s="21" t="s">
        <v>621</v>
      </c>
      <c r="B8" s="16" t="s">
        <v>900</v>
      </c>
      <c r="C8" s="1"/>
      <c r="D8" s="1"/>
      <c r="E8" s="1"/>
      <c r="F8" s="1"/>
      <c r="G8" s="1"/>
      <c r="H8" s="1"/>
      <c r="I8" s="1">
        <v>9.1999999999999993</v>
      </c>
      <c r="J8" s="1">
        <v>8.8000000000000007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1"/>
      <c r="AI8" s="16"/>
      <c r="AJ8" s="1"/>
      <c r="AK8" s="1"/>
      <c r="AL8" s="1"/>
      <c r="AM8" s="1"/>
      <c r="AN8" s="1"/>
      <c r="AO8" s="1"/>
      <c r="AP8" s="1">
        <v>9.1999999999999993</v>
      </c>
      <c r="AQ8" s="1">
        <f>(J8*0.15)+J8</f>
        <v>10.120000000000001</v>
      </c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</row>
    <row r="9" spans="1:68" ht="16" x14ac:dyDescent="0.2">
      <c r="A9" s="8" t="s">
        <v>289</v>
      </c>
      <c r="B9" s="16" t="s">
        <v>901</v>
      </c>
      <c r="C9" s="1"/>
      <c r="D9" s="1"/>
      <c r="E9" s="1"/>
      <c r="F9" s="1"/>
      <c r="G9" s="1"/>
      <c r="H9" s="1"/>
      <c r="I9" s="1"/>
      <c r="J9" s="1">
        <v>6.1</v>
      </c>
      <c r="K9" s="1">
        <v>4</v>
      </c>
      <c r="L9" s="1">
        <v>1.7</v>
      </c>
      <c r="M9" s="1">
        <v>1.8</v>
      </c>
      <c r="N9" s="1">
        <v>0.3</v>
      </c>
      <c r="O9" s="1">
        <v>11.9</v>
      </c>
      <c r="P9" s="1">
        <v>5.8</v>
      </c>
      <c r="Q9" s="1">
        <v>5.0999999999999996</v>
      </c>
      <c r="R9" s="1">
        <v>3.4</v>
      </c>
      <c r="S9" s="1">
        <v>2.9</v>
      </c>
      <c r="T9" s="1">
        <v>1.4</v>
      </c>
      <c r="U9" s="1">
        <v>1</v>
      </c>
      <c r="V9" s="1"/>
      <c r="W9" s="1">
        <v>0.4</v>
      </c>
      <c r="X9" s="3">
        <v>0.3</v>
      </c>
      <c r="Y9" s="1">
        <v>0.2</v>
      </c>
      <c r="Z9" s="1">
        <v>0.8</v>
      </c>
      <c r="AA9" s="1"/>
      <c r="AB9" s="1">
        <v>0.1</v>
      </c>
      <c r="AC9" s="1">
        <v>0.1</v>
      </c>
      <c r="AD9" s="1"/>
      <c r="AE9" s="1"/>
      <c r="AF9" s="1"/>
      <c r="AG9" s="1"/>
      <c r="AH9" s="8"/>
      <c r="AI9" s="16"/>
      <c r="AJ9" s="1"/>
      <c r="AK9" s="1"/>
      <c r="AL9" s="1"/>
      <c r="AM9" s="1"/>
      <c r="AN9" s="1"/>
      <c r="AO9" s="1"/>
      <c r="AP9" s="1"/>
      <c r="AQ9" s="1">
        <v>6.1</v>
      </c>
      <c r="AR9" s="1">
        <f>(K9*0.15)+K9</f>
        <v>4.5999999999999996</v>
      </c>
      <c r="AS9" s="1">
        <f>(L9*0.3)+L9</f>
        <v>2.21</v>
      </c>
      <c r="AT9" s="1">
        <f>(M9*0.45)+M9</f>
        <v>2.6100000000000003</v>
      </c>
      <c r="AU9" s="1">
        <f>(N9*0.6)+N9</f>
        <v>0.48</v>
      </c>
      <c r="AV9" s="1">
        <f>(O9*1.05)+O9</f>
        <v>24.395000000000003</v>
      </c>
      <c r="AW9" s="1">
        <f>(P9*1.25)+P9</f>
        <v>13.05</v>
      </c>
      <c r="AX9" s="1">
        <f>(Q9*1.45)+Q9</f>
        <v>12.494999999999999</v>
      </c>
      <c r="AY9" s="1">
        <f>(R9*1.65)+R9</f>
        <v>9.01</v>
      </c>
      <c r="AZ9" s="1">
        <f>(S9*1.85)+S9</f>
        <v>8.2650000000000006</v>
      </c>
      <c r="BA9" s="1">
        <f>(T9*2.05)+T9</f>
        <v>4.2699999999999996</v>
      </c>
      <c r="BB9" s="1">
        <f>(U9*2.25)+U9</f>
        <v>3.25</v>
      </c>
      <c r="BC9" s="1"/>
      <c r="BD9" s="1">
        <f>(W9*2.65)+W9</f>
        <v>1.46</v>
      </c>
      <c r="BE9" s="1">
        <f>(X9*2.85)+X9</f>
        <v>1.155</v>
      </c>
      <c r="BF9" s="1">
        <f>(Y9*3.05)+Y9</f>
        <v>0.81</v>
      </c>
      <c r="BG9" s="1">
        <f>(Z9*3.25)+Z9</f>
        <v>3.4000000000000004</v>
      </c>
      <c r="BH9" s="1"/>
      <c r="BI9" s="1">
        <f>(AB9*3.65)+AB9</f>
        <v>0.46499999999999997</v>
      </c>
      <c r="BJ9" s="1">
        <f>(AC9*3.85)+AC9</f>
        <v>0.48499999999999999</v>
      </c>
      <c r="BK9" s="1"/>
      <c r="BL9" s="1"/>
      <c r="BM9" s="1"/>
      <c r="BN9" s="1"/>
      <c r="BO9" s="1"/>
    </row>
    <row r="10" spans="1:68" ht="16" x14ac:dyDescent="0.2">
      <c r="A10" s="15" t="s">
        <v>158</v>
      </c>
      <c r="B10" s="16" t="s">
        <v>902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v>1.5</v>
      </c>
      <c r="N10" s="1">
        <v>3.1</v>
      </c>
      <c r="O10" s="1"/>
      <c r="P10" s="1">
        <v>0.7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5"/>
      <c r="AI10" s="16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>
        <v>1.5</v>
      </c>
      <c r="AU10" s="1">
        <f>(N10*0.15)+N10</f>
        <v>3.5649999999999999</v>
      </c>
      <c r="AV10" s="1"/>
      <c r="AW10" s="1">
        <f>(P10*0.8)+P10</f>
        <v>1.2599999999999998</v>
      </c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8" ht="16" x14ac:dyDescent="0.2">
      <c r="A11" s="8" t="s">
        <v>368</v>
      </c>
      <c r="B11" s="16" t="s">
        <v>675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v>0.8</v>
      </c>
      <c r="N11" s="1">
        <v>1.3</v>
      </c>
      <c r="O11" s="1">
        <v>7.9</v>
      </c>
      <c r="P11" s="1">
        <v>8.6</v>
      </c>
      <c r="Q11" s="1">
        <v>10.5</v>
      </c>
      <c r="R11" s="1">
        <v>10.199999999999999</v>
      </c>
      <c r="S11" s="1">
        <v>9.3000000000000007</v>
      </c>
      <c r="T11" s="1">
        <v>7.8</v>
      </c>
      <c r="U11" s="1">
        <v>11.7</v>
      </c>
      <c r="V11" s="1">
        <v>11.9</v>
      </c>
      <c r="W11" s="1">
        <v>14.5</v>
      </c>
      <c r="X11" s="1">
        <v>8.9</v>
      </c>
      <c r="Y11" s="1">
        <v>8.3000000000000007</v>
      </c>
      <c r="Z11" s="1">
        <v>8.5</v>
      </c>
      <c r="AA11" s="1">
        <v>7.9</v>
      </c>
      <c r="AB11" s="1">
        <v>13.7</v>
      </c>
      <c r="AC11" s="1">
        <v>12.4</v>
      </c>
      <c r="AD11" s="1">
        <v>6.8</v>
      </c>
      <c r="AE11" s="1">
        <v>5.5</v>
      </c>
      <c r="AF11" s="1">
        <v>5.6</v>
      </c>
      <c r="AG11" s="1">
        <v>4.2</v>
      </c>
      <c r="AH11" s="1">
        <v>3.8</v>
      </c>
      <c r="AI11" s="16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>
        <v>0.8</v>
      </c>
      <c r="AU11" s="1">
        <f>(N11*0.15)+N11</f>
        <v>1.4950000000000001</v>
      </c>
      <c r="AV11" s="1">
        <f>(O11*0.6)+O11</f>
        <v>12.64</v>
      </c>
      <c r="AW11" s="1">
        <f>(P11*0.8)+P11</f>
        <v>15.48</v>
      </c>
      <c r="AX11" s="1">
        <f>(Q11*1)+Q11</f>
        <v>21</v>
      </c>
      <c r="AY11" s="1">
        <f>(R11*1.2)+R11</f>
        <v>22.439999999999998</v>
      </c>
      <c r="AZ11" s="1">
        <f>(S11*1.4)+S11</f>
        <v>22.32</v>
      </c>
      <c r="BA11" s="1">
        <f>(T11*1.6)+T11</f>
        <v>20.28</v>
      </c>
      <c r="BB11" s="1">
        <f>(U11*1.8)+U11</f>
        <v>32.76</v>
      </c>
      <c r="BC11" s="1">
        <f>(V11*2)+V11</f>
        <v>35.700000000000003</v>
      </c>
      <c r="BD11" s="1">
        <f>(W11*2.2)+W11</f>
        <v>46.400000000000006</v>
      </c>
      <c r="BE11" s="1">
        <f>(X11*2.4)+X11</f>
        <v>30.259999999999998</v>
      </c>
      <c r="BF11" s="1">
        <f>(Y11*2.6)+Y11</f>
        <v>29.880000000000003</v>
      </c>
      <c r="BG11" s="1">
        <f>(Z11*2.8)+Z11</f>
        <v>32.299999999999997</v>
      </c>
      <c r="BH11" s="1">
        <f>(AA11*3)+AA11</f>
        <v>31.6</v>
      </c>
      <c r="BI11" s="1">
        <f>(AB11*3.2)+AB11</f>
        <v>57.540000000000006</v>
      </c>
      <c r="BJ11" s="1">
        <f>(AC11*3.4)+AC11</f>
        <v>54.559999999999995</v>
      </c>
      <c r="BK11" s="1">
        <f>(AD11*3.6)+AD11</f>
        <v>31.28</v>
      </c>
      <c r="BL11" s="1">
        <f>(AE11*3.8)+AE11</f>
        <v>26.4</v>
      </c>
      <c r="BM11" s="1">
        <f>(AF11*4)+AF11</f>
        <v>28</v>
      </c>
      <c r="BN11" s="1">
        <f>(AG11*4.2)+AG11</f>
        <v>21.84</v>
      </c>
      <c r="BO11" s="1">
        <f>(AH11*4.4)+AH11</f>
        <v>20.52</v>
      </c>
    </row>
    <row r="12" spans="1:68" ht="16" x14ac:dyDescent="0.2">
      <c r="A12" s="8" t="s">
        <v>622</v>
      </c>
      <c r="B12" s="16" t="s">
        <v>903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3">
        <v>3.4</v>
      </c>
      <c r="W12" s="3">
        <v>1</v>
      </c>
      <c r="X12" s="3">
        <v>0.5</v>
      </c>
      <c r="Y12" s="3">
        <v>0.5</v>
      </c>
      <c r="Z12" s="1"/>
      <c r="AA12" s="1"/>
      <c r="AB12" s="1"/>
      <c r="AC12" s="1"/>
      <c r="AD12" s="1"/>
      <c r="AE12" s="1"/>
      <c r="AF12" s="1"/>
      <c r="AG12" s="1"/>
      <c r="AH12" s="8"/>
      <c r="AI12" s="16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>
        <v>3.4</v>
      </c>
      <c r="BD12" s="1">
        <f>(W12*0.2)+W12</f>
        <v>1.2</v>
      </c>
      <c r="BE12" s="1">
        <f>(X12*0.4)+X12</f>
        <v>0.7</v>
      </c>
      <c r="BF12" s="1">
        <f>(Y12*0.6)+Y12</f>
        <v>0.8</v>
      </c>
      <c r="BG12" s="1"/>
      <c r="BH12" s="1"/>
      <c r="BI12" s="1"/>
      <c r="BJ12" s="1"/>
      <c r="BK12" s="1"/>
      <c r="BL12" s="1"/>
      <c r="BM12" s="1"/>
      <c r="BN12" s="1"/>
      <c r="BO12" s="1"/>
    </row>
    <row r="13" spans="1:68" ht="16" x14ac:dyDescent="0.2">
      <c r="A13" s="8" t="s">
        <v>283</v>
      </c>
      <c r="B13" s="16" t="s">
        <v>904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v>2.4</v>
      </c>
      <c r="T13" s="1">
        <v>6</v>
      </c>
      <c r="U13" s="1">
        <v>3.4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8"/>
      <c r="AI13" s="16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>
        <v>2.4</v>
      </c>
      <c r="BA13" s="1">
        <f>(T13*0.2)+T13</f>
        <v>7.2</v>
      </c>
      <c r="BB13" s="1">
        <f>(U13*0.4)+U13</f>
        <v>4.76</v>
      </c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8" ht="16" x14ac:dyDescent="0.2">
      <c r="A14" s="8" t="s">
        <v>1461</v>
      </c>
      <c r="B14" s="16" t="s">
        <v>1462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>
        <v>1.3</v>
      </c>
      <c r="AF14" s="1">
        <v>1.1000000000000001</v>
      </c>
      <c r="AG14" s="1">
        <v>2.4</v>
      </c>
      <c r="AH14" s="1">
        <v>4.7</v>
      </c>
      <c r="AI14" s="16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>
        <v>1.3</v>
      </c>
      <c r="BM14" s="1">
        <f>(AF14*0.2)+AF14</f>
        <v>1.32</v>
      </c>
      <c r="BN14" s="1">
        <f>(AG14*0.4)+AG14</f>
        <v>3.36</v>
      </c>
      <c r="BO14" s="1">
        <f>(AH14*0.6)+AH14</f>
        <v>7.52</v>
      </c>
    </row>
    <row r="15" spans="1:68" ht="16" x14ac:dyDescent="0.2">
      <c r="A15" s="8" t="s">
        <v>370</v>
      </c>
      <c r="B15" s="16" t="s">
        <v>905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>
        <v>5</v>
      </c>
      <c r="W15" s="1">
        <v>1.9</v>
      </c>
      <c r="X15" s="1">
        <v>4.5</v>
      </c>
      <c r="Y15" s="1">
        <v>3.7</v>
      </c>
      <c r="Z15" s="1">
        <v>13</v>
      </c>
      <c r="AA15" s="1">
        <v>6.3</v>
      </c>
      <c r="AB15" s="1">
        <v>15.3</v>
      </c>
      <c r="AC15" s="1">
        <v>14.6</v>
      </c>
      <c r="AD15" s="1">
        <v>22.1</v>
      </c>
      <c r="AE15" s="1">
        <v>22.9</v>
      </c>
      <c r="AF15" s="1">
        <v>16.3</v>
      </c>
      <c r="AG15" s="1">
        <v>15.2</v>
      </c>
      <c r="AH15" s="1">
        <v>11.7</v>
      </c>
      <c r="AI15" s="16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>
        <v>5</v>
      </c>
      <c r="BD15" s="1">
        <f>(W15*0.2)+W15</f>
        <v>2.2799999999999998</v>
      </c>
      <c r="BE15" s="1">
        <f>(X15*0.4)+X15</f>
        <v>6.3</v>
      </c>
      <c r="BF15" s="1">
        <f>(Y15*0.6)+Y15</f>
        <v>5.92</v>
      </c>
      <c r="BG15" s="1">
        <f>(Z15*0.8)+Z15</f>
        <v>23.4</v>
      </c>
      <c r="BH15" s="1">
        <f>(AA15*1)+AA15</f>
        <v>12.6</v>
      </c>
      <c r="BI15" s="1">
        <f>(AB15*1.2)+AB15</f>
        <v>33.659999999999997</v>
      </c>
      <c r="BJ15" s="1">
        <f>(AC15*1.4)+AC15</f>
        <v>35.04</v>
      </c>
      <c r="BK15" s="1">
        <f>(AD15*1.6)+AD15</f>
        <v>57.460000000000008</v>
      </c>
      <c r="BL15" s="1">
        <f>(AE15*1.8)+AE15</f>
        <v>64.12</v>
      </c>
      <c r="BM15" s="1">
        <f>(AF15*2)+AF15</f>
        <v>48.900000000000006</v>
      </c>
      <c r="BN15" s="1">
        <f>(AG15*2.2)+AG15</f>
        <v>48.64</v>
      </c>
      <c r="BO15" s="1">
        <f>(AH15*2.4)+AH15</f>
        <v>39.78</v>
      </c>
    </row>
    <row r="16" spans="1:68" ht="16" x14ac:dyDescent="0.2">
      <c r="A16" s="8" t="s">
        <v>1341</v>
      </c>
      <c r="B16" s="16" t="s">
        <v>773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>
        <v>0.4</v>
      </c>
      <c r="AA16" s="1">
        <v>0.1</v>
      </c>
      <c r="AB16" s="1">
        <v>0.2</v>
      </c>
      <c r="AC16" s="1">
        <v>0.2</v>
      </c>
      <c r="AD16" s="1">
        <v>0.1</v>
      </c>
      <c r="AE16" s="1">
        <v>0.3</v>
      </c>
      <c r="AF16" s="1">
        <v>2.8</v>
      </c>
      <c r="AG16" s="1">
        <v>3.2</v>
      </c>
      <c r="AH16" s="1">
        <v>3.9</v>
      </c>
      <c r="AI16" s="16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>
        <v>0.4</v>
      </c>
      <c r="BH16" s="1">
        <f>(AA16*0.2)+AA16</f>
        <v>0.12000000000000001</v>
      </c>
      <c r="BI16" s="1">
        <f>(AB16*0.4)+AB16</f>
        <v>0.28000000000000003</v>
      </c>
      <c r="BJ16" s="1">
        <f>(AC16*0.6)+AC16</f>
        <v>0.32</v>
      </c>
      <c r="BK16" s="1">
        <f>(AD16*0.8)+AD16</f>
        <v>0.18000000000000002</v>
      </c>
      <c r="BL16" s="1">
        <f>(AE16*1)+AE16</f>
        <v>0.6</v>
      </c>
      <c r="BM16" s="1">
        <f>(AF16*1.2)+AF16</f>
        <v>6.16</v>
      </c>
      <c r="BN16" s="1">
        <f>(AG16*1.4)+AG16</f>
        <v>7.68</v>
      </c>
      <c r="BO16" s="1">
        <f>(AH16*1.6)+AH16</f>
        <v>10.14</v>
      </c>
    </row>
    <row r="17" spans="1:69" ht="16" x14ac:dyDescent="0.2">
      <c r="A17" s="8" t="s">
        <v>369</v>
      </c>
      <c r="B17" s="16" t="s">
        <v>906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>
        <v>11.2</v>
      </c>
      <c r="W17" s="1">
        <v>4.2</v>
      </c>
      <c r="X17" s="1">
        <v>4.9000000000000004</v>
      </c>
      <c r="Y17" s="1">
        <v>5.5</v>
      </c>
      <c r="Z17" s="1">
        <v>10.1</v>
      </c>
      <c r="AA17" s="1">
        <v>7.9</v>
      </c>
      <c r="AB17" s="1">
        <v>6</v>
      </c>
      <c r="AC17" s="1">
        <v>12.5</v>
      </c>
      <c r="AD17" s="1">
        <v>8.8000000000000007</v>
      </c>
      <c r="AE17" s="1">
        <v>6.2</v>
      </c>
      <c r="AF17" s="1">
        <v>4.0999999999999996</v>
      </c>
      <c r="AG17" s="1">
        <v>6</v>
      </c>
      <c r="AH17" s="1">
        <v>7.6</v>
      </c>
      <c r="AI17" s="16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>
        <v>11.2</v>
      </c>
      <c r="BD17" s="1">
        <f>(W17*0.2)+W17</f>
        <v>5.04</v>
      </c>
      <c r="BE17" s="1">
        <f>(X17*0.4)+X17</f>
        <v>6.86</v>
      </c>
      <c r="BF17" s="1">
        <f>(Y17*0.6)+Y17</f>
        <v>8.8000000000000007</v>
      </c>
      <c r="BG17" s="1">
        <f>(Z17*0.8)+Z17</f>
        <v>18.18</v>
      </c>
      <c r="BH17" s="1">
        <f>(AA17*1)+AA17</f>
        <v>15.8</v>
      </c>
      <c r="BI17" s="1">
        <f>(AB17*1.2)+AB17</f>
        <v>13.2</v>
      </c>
      <c r="BJ17" s="1">
        <f>(AC17*1.4)+AC17</f>
        <v>30</v>
      </c>
      <c r="BK17" s="1">
        <f>(AD17*1.6)+AD17</f>
        <v>22.880000000000003</v>
      </c>
      <c r="BL17" s="1">
        <f>(AE17*1.8)+AE17</f>
        <v>17.36</v>
      </c>
      <c r="BM17" s="1">
        <f>(AF17*2)+AF17</f>
        <v>12.299999999999999</v>
      </c>
      <c r="BN17" s="1">
        <f>(AG17*2.2)+AG17</f>
        <v>19.200000000000003</v>
      </c>
      <c r="BO17" s="1">
        <f>(AH17*2.4)+AH17</f>
        <v>25.839999999999996</v>
      </c>
    </row>
    <row r="18" spans="1:6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3" t="s">
        <v>14</v>
      </c>
      <c r="AJ18" s="1">
        <f t="shared" ref="AJ18:BO18" si="45">SUM(AJ2:AJ17)</f>
        <v>97.2</v>
      </c>
      <c r="AK18" s="1">
        <f t="shared" si="45"/>
        <v>112.78500000000001</v>
      </c>
      <c r="AL18" s="1">
        <f t="shared" si="45"/>
        <v>125.80499999999999</v>
      </c>
      <c r="AM18" s="1">
        <f t="shared" si="45"/>
        <v>144.27500000000001</v>
      </c>
      <c r="AN18" s="1">
        <f t="shared" si="45"/>
        <v>157.81</v>
      </c>
      <c r="AO18" s="1">
        <f t="shared" si="45"/>
        <v>168.71</v>
      </c>
      <c r="AP18" s="1">
        <f t="shared" si="45"/>
        <v>172.535</v>
      </c>
      <c r="AQ18" s="1">
        <f t="shared" si="45"/>
        <v>181.68999999999997</v>
      </c>
      <c r="AR18" s="1">
        <f t="shared" si="45"/>
        <v>205.58499999999998</v>
      </c>
      <c r="AS18" s="1">
        <f t="shared" si="45"/>
        <v>222.77500000000001</v>
      </c>
      <c r="AT18" s="1">
        <f t="shared" si="45"/>
        <v>231.17500000000004</v>
      </c>
      <c r="AU18" s="1">
        <f t="shared" si="45"/>
        <v>244.77</v>
      </c>
      <c r="AV18" s="1">
        <f t="shared" si="45"/>
        <v>279.61500000000001</v>
      </c>
      <c r="AW18" s="1">
        <f t="shared" si="45"/>
        <v>306.69000000000005</v>
      </c>
      <c r="AX18" s="1">
        <f t="shared" si="45"/>
        <v>323.61500000000001</v>
      </c>
      <c r="AY18" s="1">
        <f t="shared" si="45"/>
        <v>344.85999999999996</v>
      </c>
      <c r="AZ18" s="1">
        <f t="shared" si="45"/>
        <v>359.11499999999995</v>
      </c>
      <c r="BA18" s="1">
        <f t="shared" si="45"/>
        <v>373.36999999999995</v>
      </c>
      <c r="BB18" s="1">
        <f t="shared" si="45"/>
        <v>395.28</v>
      </c>
      <c r="BC18" s="1">
        <f t="shared" si="45"/>
        <v>349.86999999999989</v>
      </c>
      <c r="BD18" s="1">
        <f t="shared" si="45"/>
        <v>414.41999999999996</v>
      </c>
      <c r="BE18" s="1">
        <f t="shared" si="45"/>
        <v>432.10500000000002</v>
      </c>
      <c r="BF18" s="1">
        <f t="shared" si="45"/>
        <v>454.84</v>
      </c>
      <c r="BG18" s="1">
        <f t="shared" si="45"/>
        <v>424.63999999999993</v>
      </c>
      <c r="BH18" s="1">
        <f t="shared" si="45"/>
        <v>458.20000000000005</v>
      </c>
      <c r="BI18" s="1">
        <f t="shared" si="45"/>
        <v>452.09499999999997</v>
      </c>
      <c r="BJ18" s="1">
        <f t="shared" si="45"/>
        <v>441.54500000000007</v>
      </c>
      <c r="BK18" s="1">
        <f t="shared" si="45"/>
        <v>469.02000000000004</v>
      </c>
      <c r="BL18" s="1">
        <f t="shared" si="45"/>
        <v>501.07</v>
      </c>
      <c r="BM18" s="1">
        <f t="shared" si="45"/>
        <v>537.32999999999993</v>
      </c>
      <c r="BN18" s="1">
        <f t="shared" si="45"/>
        <v>544.11</v>
      </c>
      <c r="BO18" s="1">
        <f t="shared" si="45"/>
        <v>544.14</v>
      </c>
    </row>
    <row r="19" spans="1:6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>
        <v>100</v>
      </c>
      <c r="AK20" s="1">
        <v>115</v>
      </c>
      <c r="AL20" s="1">
        <v>130</v>
      </c>
      <c r="AM20" s="1">
        <v>145</v>
      </c>
      <c r="AN20" s="1">
        <v>160</v>
      </c>
      <c r="AO20" s="1">
        <v>175</v>
      </c>
      <c r="AP20" s="1">
        <v>190</v>
      </c>
      <c r="AQ20" s="1">
        <v>205</v>
      </c>
      <c r="AR20" s="1">
        <v>220</v>
      </c>
      <c r="AS20" s="1">
        <v>235</v>
      </c>
      <c r="AT20" s="1">
        <v>250</v>
      </c>
      <c r="AU20" s="1">
        <v>265</v>
      </c>
      <c r="AV20" s="1">
        <v>310</v>
      </c>
      <c r="AW20" s="1">
        <v>330</v>
      </c>
      <c r="AX20" s="1">
        <v>350</v>
      </c>
      <c r="AY20" s="1">
        <v>370</v>
      </c>
      <c r="AZ20" s="1">
        <v>390</v>
      </c>
      <c r="BA20" s="1">
        <v>410</v>
      </c>
      <c r="BB20" s="1">
        <v>430</v>
      </c>
      <c r="BC20" s="1">
        <v>450</v>
      </c>
      <c r="BD20" s="1">
        <v>470</v>
      </c>
      <c r="BE20" s="1">
        <v>490</v>
      </c>
      <c r="BF20" s="1">
        <v>510</v>
      </c>
      <c r="BG20" s="1">
        <v>530</v>
      </c>
      <c r="BH20" s="1">
        <v>550</v>
      </c>
      <c r="BI20" s="1">
        <v>570</v>
      </c>
      <c r="BJ20" s="1">
        <v>590</v>
      </c>
      <c r="BK20" s="1">
        <v>610</v>
      </c>
      <c r="BL20" s="1">
        <v>630</v>
      </c>
      <c r="BM20" s="1">
        <v>650</v>
      </c>
      <c r="BN20" s="1">
        <v>670</v>
      </c>
      <c r="BO20" s="1">
        <v>690</v>
      </c>
    </row>
    <row r="22" spans="1:69" x14ac:dyDescent="0.2">
      <c r="AJ22" s="1">
        <f>AJ18</f>
        <v>97.2</v>
      </c>
      <c r="AK22" s="1">
        <f>SUM(AJ22+AK18)</f>
        <v>209.98500000000001</v>
      </c>
      <c r="AL22" s="1">
        <f>SUM(AK22+AL18)</f>
        <v>335.79</v>
      </c>
      <c r="AM22" s="1">
        <f t="shared" ref="AM22:BO22" si="46">SUM(AL22+AM18)</f>
        <v>480.06500000000005</v>
      </c>
      <c r="AN22" s="1">
        <f t="shared" si="46"/>
        <v>637.875</v>
      </c>
      <c r="AO22" s="1">
        <f t="shared" si="46"/>
        <v>806.58500000000004</v>
      </c>
      <c r="AP22" s="1">
        <f t="shared" si="46"/>
        <v>979.12</v>
      </c>
      <c r="AQ22" s="1">
        <f t="shared" si="46"/>
        <v>1160.81</v>
      </c>
      <c r="AR22" s="1">
        <f t="shared" si="46"/>
        <v>1366.395</v>
      </c>
      <c r="AS22" s="1">
        <f t="shared" si="46"/>
        <v>1589.17</v>
      </c>
      <c r="AT22" s="1">
        <f t="shared" si="46"/>
        <v>1820.345</v>
      </c>
      <c r="AU22" s="1">
        <f t="shared" si="46"/>
        <v>2065.1150000000002</v>
      </c>
      <c r="AV22" s="1">
        <f t="shared" si="46"/>
        <v>2344.7300000000005</v>
      </c>
      <c r="AW22" s="1">
        <f t="shared" si="46"/>
        <v>2651.4200000000005</v>
      </c>
      <c r="AX22" s="1">
        <f t="shared" si="46"/>
        <v>2975.0350000000008</v>
      </c>
      <c r="AY22" s="1">
        <f t="shared" si="46"/>
        <v>3319.8950000000009</v>
      </c>
      <c r="AZ22" s="1">
        <f t="shared" si="46"/>
        <v>3679.0100000000007</v>
      </c>
      <c r="BA22" s="1">
        <f t="shared" si="46"/>
        <v>4052.3800000000006</v>
      </c>
      <c r="BB22" s="1">
        <f t="shared" si="46"/>
        <v>4447.6600000000008</v>
      </c>
      <c r="BC22" s="1">
        <f t="shared" si="46"/>
        <v>4797.5300000000007</v>
      </c>
      <c r="BD22" s="1">
        <f t="shared" si="46"/>
        <v>5211.9500000000007</v>
      </c>
      <c r="BE22" s="1">
        <f t="shared" si="46"/>
        <v>5644.0550000000003</v>
      </c>
      <c r="BF22" s="1">
        <f t="shared" si="46"/>
        <v>6098.8950000000004</v>
      </c>
      <c r="BG22" s="1">
        <f t="shared" si="46"/>
        <v>6523.5350000000008</v>
      </c>
      <c r="BH22" s="1">
        <f t="shared" si="46"/>
        <v>6981.7350000000006</v>
      </c>
      <c r="BI22" s="1">
        <f t="shared" si="46"/>
        <v>7433.8300000000008</v>
      </c>
      <c r="BJ22" s="1">
        <f t="shared" si="46"/>
        <v>7875.3750000000009</v>
      </c>
      <c r="BK22" s="1">
        <f t="shared" si="46"/>
        <v>8344.3950000000004</v>
      </c>
      <c r="BL22" s="1">
        <f t="shared" si="46"/>
        <v>8845.4650000000001</v>
      </c>
      <c r="BM22" s="1">
        <f t="shared" si="46"/>
        <v>9382.7950000000001</v>
      </c>
      <c r="BN22" s="1">
        <f t="shared" si="46"/>
        <v>9926.9050000000007</v>
      </c>
      <c r="BO22" s="1">
        <f t="shared" si="46"/>
        <v>10471.045</v>
      </c>
      <c r="BP22" s="1"/>
      <c r="BQ22" s="1"/>
    </row>
    <row r="23" spans="1:69" ht="16" x14ac:dyDescent="0.2">
      <c r="A23" s="15"/>
      <c r="B23" s="15"/>
      <c r="C23" s="16"/>
      <c r="D23" s="16"/>
      <c r="AJ23" s="3"/>
      <c r="AK23" s="3"/>
      <c r="AL23" s="3"/>
      <c r="AM23" s="1"/>
      <c r="AN23" s="1"/>
      <c r="AO23" s="1"/>
      <c r="AP23" s="6"/>
      <c r="AQ23" s="6"/>
      <c r="AR23" s="6"/>
      <c r="AS23" s="1"/>
    </row>
    <row r="24" spans="1:69" ht="16" x14ac:dyDescent="0.2">
      <c r="A24" s="15"/>
      <c r="B24" s="15"/>
      <c r="C24" s="16"/>
      <c r="D24" s="16"/>
      <c r="AJ24" s="1">
        <v>100</v>
      </c>
      <c r="AK24" s="1">
        <f>SUM(AJ24+AK20)</f>
        <v>215</v>
      </c>
      <c r="AL24" s="1">
        <f>SUM(AK24+AL20)</f>
        <v>345</v>
      </c>
      <c r="AM24" s="1">
        <f t="shared" ref="AM24:BO24" si="47">SUM(AL24+AM20)</f>
        <v>490</v>
      </c>
      <c r="AN24" s="1">
        <f t="shared" si="47"/>
        <v>650</v>
      </c>
      <c r="AO24" s="1">
        <f t="shared" si="47"/>
        <v>825</v>
      </c>
      <c r="AP24" s="1">
        <f t="shared" si="47"/>
        <v>1015</v>
      </c>
      <c r="AQ24" s="1">
        <f t="shared" si="47"/>
        <v>1220</v>
      </c>
      <c r="AR24" s="1">
        <f t="shared" si="47"/>
        <v>1440</v>
      </c>
      <c r="AS24" s="1">
        <f t="shared" si="47"/>
        <v>1675</v>
      </c>
      <c r="AT24" s="1">
        <f t="shared" si="47"/>
        <v>1925</v>
      </c>
      <c r="AU24" s="1">
        <f t="shared" si="47"/>
        <v>2190</v>
      </c>
      <c r="AV24" s="1">
        <f t="shared" si="47"/>
        <v>2500</v>
      </c>
      <c r="AW24" s="1">
        <f t="shared" si="47"/>
        <v>2830</v>
      </c>
      <c r="AX24" s="1">
        <f t="shared" si="47"/>
        <v>3180</v>
      </c>
      <c r="AY24" s="1">
        <f t="shared" si="47"/>
        <v>3550</v>
      </c>
      <c r="AZ24" s="1">
        <f t="shared" si="47"/>
        <v>3940</v>
      </c>
      <c r="BA24" s="1">
        <f t="shared" si="47"/>
        <v>4350</v>
      </c>
      <c r="BB24" s="1">
        <f t="shared" si="47"/>
        <v>4780</v>
      </c>
      <c r="BC24" s="1">
        <f t="shared" si="47"/>
        <v>5230</v>
      </c>
      <c r="BD24" s="1">
        <f t="shared" si="47"/>
        <v>5700</v>
      </c>
      <c r="BE24" s="1">
        <f t="shared" si="47"/>
        <v>6190</v>
      </c>
      <c r="BF24" s="1">
        <f t="shared" si="47"/>
        <v>6700</v>
      </c>
      <c r="BG24" s="1">
        <f t="shared" si="47"/>
        <v>7230</v>
      </c>
      <c r="BH24" s="1">
        <f t="shared" si="47"/>
        <v>7780</v>
      </c>
      <c r="BI24" s="1">
        <f t="shared" si="47"/>
        <v>8350</v>
      </c>
      <c r="BJ24" s="1">
        <f t="shared" si="47"/>
        <v>8940</v>
      </c>
      <c r="BK24" s="1">
        <f t="shared" si="47"/>
        <v>9550</v>
      </c>
      <c r="BL24" s="1">
        <f t="shared" si="47"/>
        <v>10180</v>
      </c>
      <c r="BM24" s="1">
        <f t="shared" si="47"/>
        <v>10830</v>
      </c>
      <c r="BN24" s="1">
        <f t="shared" si="47"/>
        <v>11500</v>
      </c>
      <c r="BO24" s="1">
        <f t="shared" si="47"/>
        <v>12190</v>
      </c>
      <c r="BP24" s="1"/>
      <c r="BQ24" s="1"/>
    </row>
    <row r="25" spans="1:69" ht="16" x14ac:dyDescent="0.2">
      <c r="A25" s="15"/>
      <c r="B25" s="15"/>
      <c r="C25" s="16"/>
      <c r="D25" s="16"/>
    </row>
    <row r="26" spans="1:69" ht="16" x14ac:dyDescent="0.2">
      <c r="A26" s="15"/>
      <c r="B26" s="15"/>
      <c r="C26" s="16"/>
      <c r="D26" s="16"/>
      <c r="AJ26" s="4" t="s">
        <v>1563</v>
      </c>
      <c r="AK26" s="4" t="s">
        <v>1563</v>
      </c>
      <c r="AL26" s="4" t="s">
        <v>1563</v>
      </c>
      <c r="AM26" s="4" t="s">
        <v>1563</v>
      </c>
      <c r="AN26" s="4" t="s">
        <v>1563</v>
      </c>
      <c r="AO26" s="4" t="s">
        <v>1563</v>
      </c>
      <c r="AP26" s="4" t="s">
        <v>1563</v>
      </c>
      <c r="AQ26" s="4" t="s">
        <v>1563</v>
      </c>
      <c r="AR26" s="4" t="s">
        <v>1563</v>
      </c>
      <c r="AS26" s="4" t="s">
        <v>1563</v>
      </c>
      <c r="AT26" s="4" t="s">
        <v>1563</v>
      </c>
      <c r="AU26" s="4" t="s">
        <v>1563</v>
      </c>
      <c r="AV26" s="4" t="s">
        <v>1563</v>
      </c>
      <c r="AW26" s="4" t="s">
        <v>1563</v>
      </c>
      <c r="AX26" s="4" t="s">
        <v>1563</v>
      </c>
      <c r="AY26" s="4" t="s">
        <v>1563</v>
      </c>
      <c r="AZ26" s="4" t="s">
        <v>1563</v>
      </c>
      <c r="BA26" s="4" t="s">
        <v>1563</v>
      </c>
      <c r="BB26" s="4" t="s">
        <v>1563</v>
      </c>
      <c r="BC26" s="4" t="s">
        <v>1563</v>
      </c>
      <c r="BD26" s="4" t="s">
        <v>1563</v>
      </c>
      <c r="BE26" s="4" t="s">
        <v>1563</v>
      </c>
      <c r="BF26" s="4" t="s">
        <v>1563</v>
      </c>
      <c r="BG26" s="4" t="s">
        <v>1563</v>
      </c>
      <c r="BH26" s="4" t="s">
        <v>1563</v>
      </c>
      <c r="BI26" s="4" t="s">
        <v>1563</v>
      </c>
      <c r="BJ26" s="4" t="s">
        <v>1563</v>
      </c>
      <c r="BK26" s="4" t="s">
        <v>1563</v>
      </c>
      <c r="BL26" s="4" t="s">
        <v>1563</v>
      </c>
      <c r="BM26" s="4" t="s">
        <v>1563</v>
      </c>
      <c r="BN26" s="4" t="s">
        <v>1563</v>
      </c>
      <c r="BO26" s="4" t="s">
        <v>1563</v>
      </c>
      <c r="BP26" s="4"/>
      <c r="BQ26" s="4"/>
    </row>
    <row r="27" spans="1:69" ht="16" x14ac:dyDescent="0.2">
      <c r="A27" s="15"/>
      <c r="B27" s="15"/>
      <c r="C27" s="16"/>
      <c r="D27" s="16"/>
      <c r="AJ27" s="6">
        <f>(AJ22/AJ24)*100</f>
        <v>97.2</v>
      </c>
      <c r="AK27" s="6">
        <f>(AK22/AK24)*100</f>
        <v>97.667441860465118</v>
      </c>
      <c r="AL27" s="6">
        <f>(AL22/AL24)*100</f>
        <v>97.330434782608705</v>
      </c>
      <c r="AM27" s="6">
        <f t="shared" ref="AM27:BO27" si="48">(AM22/AM24)*100</f>
        <v>97.97244897959186</v>
      </c>
      <c r="AN27" s="6">
        <f t="shared" si="48"/>
        <v>98.134615384615387</v>
      </c>
      <c r="AO27" s="6">
        <f t="shared" si="48"/>
        <v>97.767878787878786</v>
      </c>
      <c r="AP27" s="6">
        <f t="shared" si="48"/>
        <v>96.465024630541876</v>
      </c>
      <c r="AQ27" s="6">
        <f t="shared" si="48"/>
        <v>95.14836065573769</v>
      </c>
      <c r="AR27" s="6">
        <f t="shared" si="48"/>
        <v>94.888541666666669</v>
      </c>
      <c r="AS27" s="6">
        <f t="shared" si="48"/>
        <v>94.875820895522395</v>
      </c>
      <c r="AT27" s="6">
        <f t="shared" si="48"/>
        <v>94.563376623376627</v>
      </c>
      <c r="AU27" s="6">
        <f t="shared" si="48"/>
        <v>94.297488584474891</v>
      </c>
      <c r="AV27" s="6">
        <f t="shared" si="48"/>
        <v>93.789200000000022</v>
      </c>
      <c r="AW27" s="6">
        <f t="shared" si="48"/>
        <v>93.6897526501767</v>
      </c>
      <c r="AX27" s="6">
        <f t="shared" si="48"/>
        <v>93.554559748427707</v>
      </c>
      <c r="AY27" s="6">
        <f t="shared" si="48"/>
        <v>93.518169014084535</v>
      </c>
      <c r="AZ27" s="6">
        <f t="shared" si="48"/>
        <v>93.375888324873117</v>
      </c>
      <c r="BA27" s="6">
        <f t="shared" si="48"/>
        <v>93.158160919540251</v>
      </c>
      <c r="BB27" s="6">
        <f t="shared" si="48"/>
        <v>93.047280334728043</v>
      </c>
      <c r="BC27" s="6">
        <f t="shared" si="48"/>
        <v>91.730975143403455</v>
      </c>
      <c r="BD27" s="6">
        <f t="shared" si="48"/>
        <v>91.437719298245625</v>
      </c>
      <c r="BE27" s="6">
        <f t="shared" si="48"/>
        <v>91.180210016155101</v>
      </c>
      <c r="BF27" s="6">
        <f t="shared" si="48"/>
        <v>91.028283582089557</v>
      </c>
      <c r="BG27" s="6">
        <f t="shared" si="48"/>
        <v>90.228699861687417</v>
      </c>
      <c r="BH27" s="6">
        <f t="shared" si="48"/>
        <v>89.739524421593842</v>
      </c>
      <c r="BI27" s="6">
        <f t="shared" si="48"/>
        <v>89.027904191616784</v>
      </c>
      <c r="BJ27" s="6">
        <f t="shared" si="48"/>
        <v>88.091442953020149</v>
      </c>
      <c r="BK27" s="6">
        <f t="shared" si="48"/>
        <v>87.375863874345555</v>
      </c>
      <c r="BL27" s="36">
        <f t="shared" si="48"/>
        <v>86.890618860510799</v>
      </c>
      <c r="BM27" s="36">
        <f t="shared" si="48"/>
        <v>86.637072945521695</v>
      </c>
      <c r="BN27" s="36">
        <f t="shared" si="48"/>
        <v>86.320913043478271</v>
      </c>
      <c r="BO27" s="36">
        <f t="shared" si="48"/>
        <v>85.898646431501234</v>
      </c>
      <c r="BP27" s="6"/>
      <c r="BQ27" s="6"/>
    </row>
    <row r="28" spans="1:69" ht="16" x14ac:dyDescent="0.2">
      <c r="A28" s="15"/>
      <c r="B28" s="15"/>
      <c r="C28" s="16"/>
      <c r="D28" s="16"/>
    </row>
    <row r="29" spans="1:69" ht="16" x14ac:dyDescent="0.2">
      <c r="A29" s="15"/>
      <c r="B29" s="15"/>
      <c r="C29" s="16"/>
      <c r="D29" s="24"/>
    </row>
    <row r="30" spans="1:69" ht="16" x14ac:dyDescent="0.2">
      <c r="A30" s="15"/>
      <c r="B30" s="15"/>
      <c r="C30" s="16"/>
      <c r="D30" s="16"/>
    </row>
    <row r="31" spans="1:69" ht="16" x14ac:dyDescent="0.2">
      <c r="A31" s="15"/>
      <c r="B31" s="15"/>
      <c r="C31" s="16"/>
      <c r="D31" s="16"/>
    </row>
    <row r="32" spans="1:69" ht="16" x14ac:dyDescent="0.2">
      <c r="A32" s="15"/>
      <c r="B32" s="15"/>
      <c r="C32" s="16"/>
      <c r="D32" s="16"/>
    </row>
    <row r="33" spans="1:4" ht="16" x14ac:dyDescent="0.2">
      <c r="A33" s="15"/>
      <c r="B33" s="15"/>
      <c r="C33" s="16"/>
      <c r="D33" s="16"/>
    </row>
    <row r="34" spans="1:4" ht="16" x14ac:dyDescent="0.2">
      <c r="A34" s="15"/>
      <c r="B34" s="15"/>
      <c r="C34" s="16"/>
      <c r="D34" s="16"/>
    </row>
    <row r="35" spans="1:4" ht="16" x14ac:dyDescent="0.2">
      <c r="A35" s="15"/>
      <c r="B35" s="15"/>
      <c r="C35" s="16"/>
      <c r="D35" s="16"/>
    </row>
    <row r="36" spans="1:4" ht="16" x14ac:dyDescent="0.2">
      <c r="A36" s="15"/>
      <c r="B36" s="15"/>
      <c r="C36" s="16"/>
      <c r="D36" s="16"/>
    </row>
    <row r="37" spans="1:4" ht="16" x14ac:dyDescent="0.2">
      <c r="A37" s="15"/>
      <c r="B37" s="15"/>
      <c r="C37" s="16"/>
      <c r="D37" s="16"/>
    </row>
    <row r="38" spans="1:4" ht="16" x14ac:dyDescent="0.2">
      <c r="A38" s="15"/>
      <c r="B38" s="15"/>
      <c r="C38" s="16"/>
      <c r="D38" s="16"/>
    </row>
    <row r="39" spans="1:4" ht="16" x14ac:dyDescent="0.2">
      <c r="A39" s="15"/>
      <c r="B39" s="15"/>
      <c r="C39" s="16"/>
      <c r="D39" s="16"/>
    </row>
  </sheetData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18"/>
  <sheetViews>
    <sheetView workbookViewId="0">
      <selection activeCell="E17" sqref="E17"/>
    </sheetView>
  </sheetViews>
  <sheetFormatPr baseColWidth="10" defaultRowHeight="15" x14ac:dyDescent="0.2"/>
  <cols>
    <col min="2" max="2" width="26.1640625" customWidth="1"/>
  </cols>
  <sheetData>
    <row r="1" spans="1:5" ht="16" x14ac:dyDescent="0.2">
      <c r="A1" s="3" t="s">
        <v>15</v>
      </c>
      <c r="B1" s="24" t="s">
        <v>681</v>
      </c>
      <c r="C1" s="3">
        <v>1922</v>
      </c>
      <c r="E1" s="3">
        <v>1922</v>
      </c>
    </row>
    <row r="2" spans="1:5" x14ac:dyDescent="0.2">
      <c r="A2" s="1" t="s">
        <v>1375</v>
      </c>
      <c r="B2" s="1" t="s">
        <v>1376</v>
      </c>
      <c r="C2" s="1">
        <v>29.1</v>
      </c>
      <c r="E2" s="1">
        <v>29.1</v>
      </c>
    </row>
    <row r="3" spans="1:5" x14ac:dyDescent="0.2">
      <c r="A3" s="1" t="s">
        <v>1377</v>
      </c>
      <c r="B3" s="1" t="s">
        <v>1378</v>
      </c>
      <c r="C3" s="1">
        <v>16</v>
      </c>
      <c r="E3" s="1">
        <v>16</v>
      </c>
    </row>
    <row r="4" spans="1:5" x14ac:dyDescent="0.2">
      <c r="A4" s="1" t="s">
        <v>1379</v>
      </c>
      <c r="B4" s="1" t="s">
        <v>1380</v>
      </c>
      <c r="C4" s="1">
        <v>13.2</v>
      </c>
      <c r="E4" s="1">
        <v>13.2</v>
      </c>
    </row>
    <row r="5" spans="1:5" x14ac:dyDescent="0.2">
      <c r="A5" s="1" t="s">
        <v>1381</v>
      </c>
      <c r="B5" s="1" t="s">
        <v>1382</v>
      </c>
      <c r="C5" s="1">
        <v>11</v>
      </c>
      <c r="E5" s="1">
        <v>11</v>
      </c>
    </row>
    <row r="6" spans="1:5" x14ac:dyDescent="0.2">
      <c r="A6" s="1" t="s">
        <v>348</v>
      </c>
      <c r="B6" s="1" t="s">
        <v>1383</v>
      </c>
      <c r="C6" s="1">
        <v>10.3</v>
      </c>
      <c r="E6" s="1">
        <v>10.3</v>
      </c>
    </row>
    <row r="7" spans="1:5" x14ac:dyDescent="0.2">
      <c r="A7" s="1" t="s">
        <v>1384</v>
      </c>
      <c r="B7" s="1" t="s">
        <v>1385</v>
      </c>
      <c r="C7" s="1">
        <v>5.4</v>
      </c>
      <c r="E7" s="1">
        <v>5.4</v>
      </c>
    </row>
    <row r="8" spans="1:5" ht="16" x14ac:dyDescent="0.2">
      <c r="A8" s="35" t="s">
        <v>1393</v>
      </c>
      <c r="B8" s="16" t="s">
        <v>1394</v>
      </c>
      <c r="C8" s="1">
        <v>4.5999999999999996</v>
      </c>
      <c r="E8" s="1">
        <v>4.5999999999999996</v>
      </c>
    </row>
    <row r="9" spans="1:5" x14ac:dyDescent="0.2">
      <c r="D9" s="3" t="s">
        <v>14</v>
      </c>
      <c r="E9" s="1">
        <f>SUM(E2:E8)</f>
        <v>89.6</v>
      </c>
    </row>
    <row r="11" spans="1:5" x14ac:dyDescent="0.2">
      <c r="E11" s="1">
        <v>100</v>
      </c>
    </row>
    <row r="13" spans="1:5" x14ac:dyDescent="0.2">
      <c r="E13" s="1">
        <f>E9</f>
        <v>89.6</v>
      </c>
    </row>
    <row r="14" spans="1:5" x14ac:dyDescent="0.2">
      <c r="E14" s="3"/>
    </row>
    <row r="15" spans="1:5" x14ac:dyDescent="0.2">
      <c r="E15" s="1">
        <v>100</v>
      </c>
    </row>
    <row r="17" spans="5:5" x14ac:dyDescent="0.2">
      <c r="E17" s="4" t="s">
        <v>1563</v>
      </c>
    </row>
    <row r="18" spans="5:5" x14ac:dyDescent="0.2">
      <c r="E18" s="6">
        <f>(E13/E15)*100</f>
        <v>89.6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W40"/>
  <sheetViews>
    <sheetView topLeftCell="K15" workbookViewId="0">
      <selection activeCell="N38" sqref="N38:W38"/>
    </sheetView>
  </sheetViews>
  <sheetFormatPr baseColWidth="10" defaultRowHeight="15" x14ac:dyDescent="0.2"/>
  <cols>
    <col min="2" max="2" width="54" customWidth="1"/>
  </cols>
  <sheetData>
    <row r="1" spans="1:23" ht="16" x14ac:dyDescent="0.2">
      <c r="A1" s="3" t="s">
        <v>15</v>
      </c>
      <c r="B1" s="24" t="s">
        <v>681</v>
      </c>
      <c r="C1" s="3">
        <v>1991</v>
      </c>
      <c r="D1" s="3">
        <v>1993</v>
      </c>
      <c r="E1" s="3">
        <v>1997</v>
      </c>
      <c r="F1" s="3">
        <v>2001</v>
      </c>
      <c r="G1" s="3">
        <v>2005</v>
      </c>
      <c r="H1" s="3">
        <v>2007</v>
      </c>
      <c r="I1" s="3">
        <v>2011</v>
      </c>
      <c r="J1" s="3">
        <v>2015</v>
      </c>
      <c r="K1" s="3">
        <v>2019</v>
      </c>
      <c r="L1" s="3">
        <v>2023</v>
      </c>
      <c r="N1" s="3">
        <v>1991</v>
      </c>
      <c r="O1" s="3">
        <v>1993</v>
      </c>
      <c r="P1" s="3">
        <v>1997</v>
      </c>
      <c r="Q1" s="3">
        <v>2001</v>
      </c>
      <c r="R1" s="3">
        <v>2005</v>
      </c>
      <c r="S1" s="3">
        <v>2007</v>
      </c>
      <c r="T1" s="3">
        <v>2011</v>
      </c>
      <c r="U1" s="3">
        <v>2015</v>
      </c>
      <c r="V1" s="3">
        <v>2019</v>
      </c>
      <c r="W1" s="3">
        <v>2023</v>
      </c>
    </row>
    <row r="2" spans="1:23" ht="16" x14ac:dyDescent="0.2">
      <c r="A2" s="1" t="s">
        <v>66</v>
      </c>
      <c r="B2" s="16" t="s">
        <v>872</v>
      </c>
      <c r="C2" s="1">
        <v>12</v>
      </c>
      <c r="D2" s="1">
        <v>20.399999999999999</v>
      </c>
      <c r="E2" s="1">
        <v>27.1</v>
      </c>
      <c r="F2" s="1">
        <v>41</v>
      </c>
      <c r="G2" s="1">
        <v>11.3</v>
      </c>
      <c r="H2" s="1">
        <v>13.2</v>
      </c>
      <c r="I2" s="1">
        <v>8.1999999999999993</v>
      </c>
      <c r="J2" s="1">
        <v>7.6</v>
      </c>
      <c r="K2" s="1">
        <v>12.6</v>
      </c>
      <c r="L2" s="1"/>
      <c r="N2" s="1">
        <v>12</v>
      </c>
      <c r="O2" s="1">
        <f>(D2*0.1)+D2</f>
        <v>22.439999999999998</v>
      </c>
      <c r="P2" s="1">
        <f>(E2*0.3)+E2</f>
        <v>35.230000000000004</v>
      </c>
      <c r="Q2" s="1">
        <f>(F2*0.5)+F2</f>
        <v>61.5</v>
      </c>
      <c r="R2" s="1">
        <f>(G2*0.7)+G2</f>
        <v>19.21</v>
      </c>
      <c r="S2" s="1">
        <f>(H2*0.8)+H2</f>
        <v>23.759999999999998</v>
      </c>
      <c r="T2" s="1">
        <f>(I2*1)+I2</f>
        <v>16.399999999999999</v>
      </c>
      <c r="U2" s="1">
        <f>(J2*1.2)+J2</f>
        <v>16.72</v>
      </c>
      <c r="V2" s="1">
        <f>(K2*1.4)+K2</f>
        <v>30.239999999999995</v>
      </c>
    </row>
    <row r="3" spans="1:23" ht="16" x14ac:dyDescent="0.2">
      <c r="A3" s="1" t="s">
        <v>67</v>
      </c>
      <c r="B3" s="16" t="s">
        <v>873</v>
      </c>
      <c r="C3" s="1">
        <v>8.6999999999999993</v>
      </c>
      <c r="D3" s="1">
        <v>15.4</v>
      </c>
      <c r="E3" s="1">
        <v>7.3</v>
      </c>
      <c r="F3" s="1">
        <v>9</v>
      </c>
      <c r="G3" s="1">
        <v>7</v>
      </c>
      <c r="H3" s="1">
        <v>8.9</v>
      </c>
      <c r="I3" s="1">
        <v>8.4</v>
      </c>
      <c r="J3" s="1">
        <v>5.0999999999999996</v>
      </c>
      <c r="K3" s="1">
        <v>8.6</v>
      </c>
      <c r="L3" s="1">
        <v>14.4</v>
      </c>
      <c r="N3" s="1">
        <v>8.6999999999999993</v>
      </c>
      <c r="O3" s="1">
        <f>(D3*0.1)+D3</f>
        <v>16.940000000000001</v>
      </c>
      <c r="P3" s="1">
        <f>(E3*0.3)+E3</f>
        <v>9.49</v>
      </c>
      <c r="Q3" s="1">
        <f>(F3*0.5)+F3</f>
        <v>13.5</v>
      </c>
      <c r="R3" s="1">
        <f>(G3*0.7)+G3</f>
        <v>11.899999999999999</v>
      </c>
      <c r="S3" s="1">
        <f>(H3*0.8)+H3</f>
        <v>16.020000000000003</v>
      </c>
      <c r="T3" s="1">
        <f>(I3*1)+I3</f>
        <v>16.8</v>
      </c>
      <c r="U3" s="1">
        <f>(J3*1.2)+J3</f>
        <v>11.219999999999999</v>
      </c>
      <c r="V3" s="1">
        <f>(K3*1.4)+K3</f>
        <v>20.64</v>
      </c>
      <c r="W3" s="1">
        <f>(L3*1.6)+L3</f>
        <v>37.440000000000005</v>
      </c>
    </row>
    <row r="4" spans="1:23" ht="16" x14ac:dyDescent="0.2">
      <c r="A4" s="1" t="s">
        <v>65</v>
      </c>
      <c r="B4" s="16" t="s">
        <v>874</v>
      </c>
      <c r="C4" s="1">
        <v>12.3</v>
      </c>
      <c r="D4" s="1">
        <v>10.6</v>
      </c>
      <c r="H4" s="1"/>
      <c r="I4" s="1"/>
      <c r="J4" s="1"/>
      <c r="N4" s="1">
        <v>12.3</v>
      </c>
      <c r="O4" s="1">
        <f>(D4*0.1)+D4</f>
        <v>11.66</v>
      </c>
      <c r="P4" s="1"/>
      <c r="Q4" s="1"/>
      <c r="R4" s="1"/>
      <c r="S4" s="1"/>
      <c r="T4" s="1"/>
      <c r="U4" s="1"/>
    </row>
    <row r="5" spans="1:23" ht="16" x14ac:dyDescent="0.2">
      <c r="A5" s="1" t="s">
        <v>432</v>
      </c>
      <c r="B5" s="16" t="s">
        <v>875</v>
      </c>
      <c r="C5" s="1"/>
      <c r="D5" s="1"/>
      <c r="E5" s="1">
        <v>13.4</v>
      </c>
      <c r="F5" s="1">
        <v>3.1</v>
      </c>
      <c r="G5" s="1">
        <v>2.5</v>
      </c>
      <c r="H5" s="1"/>
      <c r="I5" s="1"/>
      <c r="J5" s="1"/>
      <c r="N5" s="1"/>
      <c r="O5" s="1"/>
      <c r="P5" s="1">
        <v>13.4</v>
      </c>
      <c r="Q5" s="1">
        <f>(F5*0.2)+F5</f>
        <v>3.72</v>
      </c>
      <c r="R5" s="1">
        <f>(G5*0.4)+G5</f>
        <v>3.5</v>
      </c>
      <c r="S5" s="1"/>
      <c r="T5" s="1"/>
      <c r="U5" s="1"/>
    </row>
    <row r="6" spans="1:23" ht="16" x14ac:dyDescent="0.2">
      <c r="A6" s="1" t="s">
        <v>1514</v>
      </c>
      <c r="B6" s="16" t="s">
        <v>1515</v>
      </c>
      <c r="C6" s="1"/>
      <c r="D6" s="1"/>
      <c r="E6" s="1"/>
      <c r="F6" s="1"/>
      <c r="G6" s="1"/>
      <c r="H6" s="1"/>
      <c r="I6" s="1"/>
      <c r="J6" s="1"/>
      <c r="L6" s="1">
        <v>8.6</v>
      </c>
      <c r="N6" s="1"/>
      <c r="O6" s="1"/>
      <c r="P6" s="1"/>
      <c r="Q6" s="1"/>
      <c r="R6" s="1"/>
      <c r="S6" s="1"/>
      <c r="T6" s="1"/>
      <c r="U6" s="1"/>
      <c r="W6" s="1">
        <v>8.6</v>
      </c>
    </row>
    <row r="7" spans="1:23" ht="16" x14ac:dyDescent="0.2">
      <c r="A7" s="15" t="s">
        <v>417</v>
      </c>
      <c r="B7" s="16" t="s">
        <v>876</v>
      </c>
      <c r="C7" s="16">
        <v>8.6999999999999993</v>
      </c>
      <c r="D7" s="1">
        <v>6.4</v>
      </c>
      <c r="E7" s="1"/>
      <c r="F7" s="1"/>
      <c r="G7" s="1"/>
      <c r="H7" s="1"/>
      <c r="I7" s="1"/>
      <c r="J7" s="1"/>
      <c r="N7" s="16">
        <v>8.6999999999999993</v>
      </c>
      <c r="O7" s="1">
        <f>(D7*0.1)+D7</f>
        <v>7.0400000000000009</v>
      </c>
      <c r="P7" s="1"/>
      <c r="Q7" s="1"/>
      <c r="R7" s="1"/>
      <c r="S7" s="1"/>
      <c r="T7" s="1"/>
      <c r="U7" s="1"/>
    </row>
    <row r="8" spans="1:23" ht="16" x14ac:dyDescent="0.2">
      <c r="A8" s="15" t="s">
        <v>359</v>
      </c>
      <c r="B8" s="16" t="s">
        <v>877</v>
      </c>
      <c r="C8" s="16">
        <v>8.6999999999999993</v>
      </c>
      <c r="D8" s="1">
        <v>4.4000000000000004</v>
      </c>
      <c r="E8" s="1"/>
      <c r="F8" s="1"/>
      <c r="G8" s="1"/>
      <c r="H8" s="1"/>
      <c r="I8" s="1"/>
      <c r="J8" s="1"/>
      <c r="N8" s="16">
        <v>8.6999999999999993</v>
      </c>
      <c r="O8" s="1">
        <f>(D8*0.1)+D8</f>
        <v>4.8400000000000007</v>
      </c>
      <c r="P8" s="1"/>
      <c r="Q8" s="1"/>
      <c r="R8" s="1"/>
      <c r="S8" s="1"/>
      <c r="T8" s="1"/>
      <c r="U8" s="1"/>
    </row>
    <row r="9" spans="1:23" ht="16" x14ac:dyDescent="0.2">
      <c r="A9" s="15" t="s">
        <v>418</v>
      </c>
      <c r="B9" s="16" t="s">
        <v>878</v>
      </c>
      <c r="C9" s="16">
        <v>7.5</v>
      </c>
      <c r="D9" s="1">
        <v>4</v>
      </c>
      <c r="E9" s="1"/>
      <c r="F9" s="1"/>
      <c r="G9" s="1"/>
      <c r="H9" s="1"/>
      <c r="I9" s="1"/>
      <c r="J9" s="1"/>
      <c r="N9" s="16">
        <v>7.5</v>
      </c>
      <c r="O9" s="1">
        <f>(D9*0.1)+D9</f>
        <v>4.4000000000000004</v>
      </c>
      <c r="P9" s="1"/>
      <c r="Q9" s="1"/>
      <c r="R9" s="1"/>
      <c r="S9" s="1"/>
      <c r="T9" s="1"/>
      <c r="U9" s="1"/>
    </row>
    <row r="10" spans="1:23" ht="16" x14ac:dyDescent="0.2">
      <c r="A10" s="15" t="s">
        <v>18</v>
      </c>
      <c r="B10" s="16" t="s">
        <v>879</v>
      </c>
      <c r="C10" s="16">
        <v>5.5</v>
      </c>
      <c r="D10" s="1"/>
      <c r="E10" s="1"/>
      <c r="F10" s="1"/>
      <c r="G10" s="1"/>
      <c r="H10" s="1"/>
      <c r="I10" s="1"/>
      <c r="J10" s="1"/>
      <c r="N10" s="16">
        <v>5.5</v>
      </c>
      <c r="O10" s="1"/>
      <c r="P10" s="1"/>
      <c r="Q10" s="1"/>
      <c r="R10" s="1"/>
      <c r="S10" s="1"/>
      <c r="T10" s="1"/>
      <c r="U10" s="1"/>
    </row>
    <row r="11" spans="1:23" ht="16" x14ac:dyDescent="0.2">
      <c r="A11" s="15" t="s">
        <v>333</v>
      </c>
      <c r="B11" s="16" t="s">
        <v>880</v>
      </c>
      <c r="C11" s="16">
        <v>5.0999999999999996</v>
      </c>
      <c r="D11" s="1">
        <v>4.9000000000000004</v>
      </c>
      <c r="E11" s="1"/>
      <c r="F11" s="1"/>
      <c r="G11" s="1"/>
      <c r="H11" s="1"/>
      <c r="I11" s="1"/>
      <c r="J11" s="1"/>
      <c r="N11" s="16">
        <v>5.0999999999999996</v>
      </c>
      <c r="O11" s="1">
        <f>(D11*0.1)+D11</f>
        <v>5.3900000000000006</v>
      </c>
      <c r="P11" s="1"/>
      <c r="Q11" s="1"/>
      <c r="R11" s="1"/>
      <c r="S11" s="1"/>
      <c r="T11" s="1"/>
      <c r="U11" s="1"/>
    </row>
    <row r="12" spans="1:23" ht="16" x14ac:dyDescent="0.2">
      <c r="A12" s="15" t="s">
        <v>419</v>
      </c>
      <c r="B12" s="16" t="s">
        <v>881</v>
      </c>
      <c r="C12" s="16"/>
      <c r="D12" s="1">
        <v>5.4</v>
      </c>
      <c r="E12" s="1"/>
      <c r="F12" s="1"/>
      <c r="G12" s="1"/>
      <c r="H12" s="1"/>
      <c r="I12" s="1"/>
      <c r="J12" s="1"/>
      <c r="N12" s="16"/>
      <c r="O12" s="1">
        <v>5.4</v>
      </c>
      <c r="P12" s="1"/>
      <c r="Q12" s="1"/>
      <c r="R12" s="1"/>
      <c r="S12" s="1"/>
      <c r="T12" s="1"/>
      <c r="U12" s="1"/>
    </row>
    <row r="13" spans="1:23" ht="16" x14ac:dyDescent="0.2">
      <c r="A13" s="15" t="s">
        <v>420</v>
      </c>
      <c r="B13" s="16" t="s">
        <v>882</v>
      </c>
      <c r="C13" s="16"/>
      <c r="D13" s="1"/>
      <c r="E13" s="1"/>
      <c r="F13" s="1"/>
      <c r="G13" s="1"/>
      <c r="H13" s="1"/>
      <c r="I13" s="1"/>
      <c r="J13" s="1">
        <v>4.8</v>
      </c>
      <c r="K13" s="1">
        <v>6.8</v>
      </c>
      <c r="L13" s="1">
        <v>7.2</v>
      </c>
      <c r="N13" s="16"/>
      <c r="O13" s="1"/>
      <c r="P13" s="1"/>
      <c r="Q13" s="1"/>
      <c r="R13" s="1"/>
      <c r="S13" s="1"/>
      <c r="T13" s="1"/>
      <c r="U13" s="1">
        <v>4.8</v>
      </c>
      <c r="V13" s="1">
        <f>(K13*0.2)+K13</f>
        <v>8.16</v>
      </c>
      <c r="W13" s="1">
        <f>(L13*0.4)+L13</f>
        <v>10.08</v>
      </c>
    </row>
    <row r="14" spans="1:23" ht="16" x14ac:dyDescent="0.2">
      <c r="A14" s="15" t="s">
        <v>421</v>
      </c>
      <c r="B14" s="16" t="s">
        <v>883</v>
      </c>
      <c r="C14" s="16"/>
      <c r="D14" s="1"/>
      <c r="E14" s="1"/>
      <c r="F14" s="1"/>
      <c r="G14" s="1"/>
      <c r="H14" s="1"/>
      <c r="I14" s="1"/>
      <c r="J14" s="1">
        <v>3.6</v>
      </c>
      <c r="L14" s="1"/>
      <c r="N14" s="16"/>
      <c r="O14" s="1"/>
      <c r="P14" s="1"/>
      <c r="Q14" s="1"/>
      <c r="R14" s="1"/>
      <c r="S14" s="1"/>
      <c r="T14" s="1"/>
      <c r="U14" s="1">
        <v>3.6</v>
      </c>
    </row>
    <row r="15" spans="1:23" ht="16" x14ac:dyDescent="0.2">
      <c r="A15" s="15" t="s">
        <v>422</v>
      </c>
      <c r="B15" s="16" t="s">
        <v>884</v>
      </c>
      <c r="C15" s="16"/>
      <c r="D15" s="1"/>
      <c r="E15" s="1"/>
      <c r="F15" s="1"/>
      <c r="G15" s="1"/>
      <c r="H15" s="1"/>
      <c r="I15" s="1"/>
      <c r="J15" s="1">
        <v>8.8000000000000007</v>
      </c>
      <c r="N15" s="16"/>
      <c r="O15" s="1"/>
      <c r="P15" s="1"/>
      <c r="Q15" s="1"/>
      <c r="R15" s="1"/>
      <c r="S15" s="1"/>
      <c r="T15" s="1"/>
      <c r="U15" s="1">
        <v>8.8000000000000007</v>
      </c>
    </row>
    <row r="16" spans="1:23" ht="16" x14ac:dyDescent="0.2">
      <c r="A16" s="15" t="s">
        <v>423</v>
      </c>
      <c r="B16" s="16" t="s">
        <v>885</v>
      </c>
      <c r="C16" s="16"/>
      <c r="D16" s="1"/>
      <c r="E16" s="1"/>
      <c r="F16" s="1"/>
      <c r="G16" s="1"/>
      <c r="H16" s="1"/>
      <c r="I16" s="1"/>
      <c r="J16" s="1">
        <v>7.6</v>
      </c>
      <c r="N16" s="16"/>
      <c r="O16" s="1"/>
      <c r="P16" s="1"/>
      <c r="Q16" s="1"/>
      <c r="R16" s="1"/>
      <c r="S16" s="1"/>
      <c r="T16" s="1"/>
      <c r="U16" s="1">
        <v>7.6</v>
      </c>
    </row>
    <row r="17" spans="1:23" ht="16" x14ac:dyDescent="0.2">
      <c r="A17" s="15" t="s">
        <v>424</v>
      </c>
      <c r="B17" s="16" t="s">
        <v>886</v>
      </c>
      <c r="C17" s="16">
        <v>3.3</v>
      </c>
      <c r="D17" s="1">
        <v>0.1</v>
      </c>
      <c r="E17" s="1"/>
      <c r="F17" s="1"/>
      <c r="G17" s="1"/>
      <c r="H17" s="1"/>
      <c r="I17" s="1"/>
      <c r="J17" s="1"/>
      <c r="N17" s="16">
        <v>3.3</v>
      </c>
      <c r="O17" s="1">
        <f>(D17*0.1)+D17</f>
        <v>0.11000000000000001</v>
      </c>
      <c r="P17" s="1"/>
      <c r="Q17" s="1"/>
      <c r="R17" s="1"/>
      <c r="S17" s="1"/>
      <c r="T17" s="1"/>
      <c r="U17" s="1"/>
    </row>
    <row r="18" spans="1:23" ht="16" x14ac:dyDescent="0.2">
      <c r="A18" s="15" t="s">
        <v>425</v>
      </c>
      <c r="B18" s="16" t="s">
        <v>887</v>
      </c>
      <c r="C18" s="16"/>
      <c r="D18" s="1"/>
      <c r="E18" s="1">
        <v>33.799999999999997</v>
      </c>
      <c r="F18" s="1">
        <v>5.6</v>
      </c>
      <c r="G18" s="1"/>
      <c r="H18" s="1"/>
      <c r="I18" s="1"/>
      <c r="J18" s="1"/>
      <c r="N18" s="16"/>
      <c r="O18" s="1"/>
      <c r="P18" s="1">
        <v>33.799999999999997</v>
      </c>
      <c r="Q18" s="1">
        <f t="shared" ref="Q18" si="0">(F18*0.2)+F18</f>
        <v>6.72</v>
      </c>
      <c r="R18" s="1"/>
      <c r="S18" s="1"/>
      <c r="T18" s="1"/>
      <c r="U18" s="1"/>
    </row>
    <row r="19" spans="1:23" ht="16" x14ac:dyDescent="0.2">
      <c r="A19" s="15" t="s">
        <v>426</v>
      </c>
      <c r="B19" s="16" t="s">
        <v>888</v>
      </c>
      <c r="C19" s="16"/>
      <c r="D19" s="1"/>
      <c r="E19" s="1"/>
      <c r="F19" s="1"/>
      <c r="G19" s="1">
        <v>3.9</v>
      </c>
      <c r="H19" s="1"/>
      <c r="I19" s="1"/>
      <c r="J19" s="1"/>
      <c r="N19" s="16"/>
      <c r="O19" s="1"/>
      <c r="P19" s="1"/>
      <c r="Q19" s="1"/>
      <c r="R19" s="1">
        <v>3.9</v>
      </c>
      <c r="S19" s="1"/>
      <c r="T19" s="1"/>
      <c r="U19" s="1"/>
    </row>
    <row r="20" spans="1:23" ht="16" x14ac:dyDescent="0.2">
      <c r="A20" s="15" t="s">
        <v>427</v>
      </c>
      <c r="B20" s="16" t="s">
        <v>889</v>
      </c>
      <c r="C20" s="16"/>
      <c r="D20" s="1"/>
      <c r="E20" s="1">
        <v>5.6</v>
      </c>
      <c r="F20" s="1"/>
      <c r="G20" s="1"/>
      <c r="H20" s="1"/>
      <c r="I20" s="1"/>
      <c r="J20" s="1"/>
      <c r="N20" s="16"/>
      <c r="O20" s="1"/>
      <c r="P20" s="1">
        <v>5.6</v>
      </c>
      <c r="Q20" s="1"/>
      <c r="R20" s="1"/>
      <c r="S20" s="1"/>
      <c r="T20" s="1"/>
      <c r="U20" s="1"/>
    </row>
    <row r="21" spans="1:23" ht="16" x14ac:dyDescent="0.2">
      <c r="A21" s="17" t="s">
        <v>93</v>
      </c>
      <c r="B21" s="16" t="s">
        <v>890</v>
      </c>
      <c r="C21" s="16">
        <v>2.2999999999999998</v>
      </c>
      <c r="D21" s="1">
        <v>3.2</v>
      </c>
      <c r="E21" s="1">
        <v>2</v>
      </c>
      <c r="F21" s="1"/>
      <c r="G21" s="1"/>
      <c r="H21" s="1"/>
      <c r="I21" s="1"/>
      <c r="J21" s="1"/>
      <c r="N21" s="16">
        <v>2.2999999999999998</v>
      </c>
      <c r="O21" s="1">
        <f>(D21*0.1)+D21</f>
        <v>3.5200000000000005</v>
      </c>
      <c r="P21" s="1">
        <f>(E21*0.3)+E21</f>
        <v>2.6</v>
      </c>
      <c r="Q21" s="1"/>
      <c r="R21" s="1"/>
      <c r="S21" s="1"/>
      <c r="T21" s="1"/>
      <c r="U21" s="1"/>
    </row>
    <row r="22" spans="1:23" ht="16" x14ac:dyDescent="0.2">
      <c r="A22" s="15" t="s">
        <v>252</v>
      </c>
      <c r="B22" s="16" t="s">
        <v>891</v>
      </c>
      <c r="C22" s="16"/>
      <c r="D22" s="1"/>
      <c r="E22" s="1"/>
      <c r="F22" s="1"/>
      <c r="G22" s="1"/>
      <c r="H22" s="1"/>
      <c r="I22" s="1">
        <v>10</v>
      </c>
      <c r="J22" s="1"/>
      <c r="N22" s="16"/>
      <c r="O22" s="1"/>
      <c r="P22" s="1"/>
      <c r="Q22" s="1"/>
      <c r="R22" s="1"/>
      <c r="T22" s="1">
        <v>4.7</v>
      </c>
      <c r="U22" s="1"/>
    </row>
    <row r="23" spans="1:23" ht="16" x14ac:dyDescent="0.2">
      <c r="A23" s="1" t="s">
        <v>68</v>
      </c>
      <c r="B23" s="16" t="s">
        <v>892</v>
      </c>
      <c r="C23" s="1">
        <v>7.5</v>
      </c>
      <c r="D23" s="1">
        <v>5.8</v>
      </c>
      <c r="E23" s="1"/>
      <c r="F23" s="1"/>
      <c r="G23" s="1"/>
      <c r="H23" s="1"/>
      <c r="I23" s="1"/>
      <c r="J23" s="1"/>
      <c r="N23" s="1">
        <v>7.5</v>
      </c>
      <c r="O23" s="1">
        <f>(D23*0.1)+D23</f>
        <v>6.38</v>
      </c>
      <c r="P23" s="1"/>
      <c r="Q23" s="1"/>
      <c r="R23" s="1"/>
      <c r="S23" s="1"/>
      <c r="T23" s="1"/>
      <c r="U23" s="1"/>
    </row>
    <row r="24" spans="1:23" ht="16" x14ac:dyDescent="0.2">
      <c r="A24" s="1" t="s">
        <v>69</v>
      </c>
      <c r="B24" s="16" t="s">
        <v>893</v>
      </c>
      <c r="C24" s="1"/>
      <c r="D24" s="1">
        <v>7.3</v>
      </c>
      <c r="E24" s="1">
        <v>4.7</v>
      </c>
      <c r="F24" s="1"/>
      <c r="G24" s="1"/>
      <c r="H24" s="1"/>
      <c r="I24" s="1"/>
      <c r="J24" s="1"/>
      <c r="N24" s="1"/>
      <c r="O24" s="1">
        <v>7.3</v>
      </c>
      <c r="P24" s="1">
        <f>(E24*0.2)+E24</f>
        <v>5.6400000000000006</v>
      </c>
      <c r="Q24" s="1"/>
      <c r="R24" s="1"/>
      <c r="S24" s="1"/>
      <c r="T24" s="1"/>
      <c r="U24" s="1"/>
    </row>
    <row r="25" spans="1:23" ht="16" x14ac:dyDescent="0.2">
      <c r="A25" s="1" t="s">
        <v>70</v>
      </c>
      <c r="B25" s="16" t="s">
        <v>894</v>
      </c>
      <c r="C25" s="1"/>
      <c r="D25" s="1"/>
      <c r="E25" s="1"/>
      <c r="F25" s="1">
        <v>12.7</v>
      </c>
      <c r="G25" s="1">
        <v>24.1</v>
      </c>
      <c r="H25" s="1">
        <v>41.5</v>
      </c>
      <c r="I25" s="1">
        <v>39.200000000000003</v>
      </c>
      <c r="J25" s="1">
        <v>24.1</v>
      </c>
      <c r="K25" s="1">
        <v>27.4</v>
      </c>
      <c r="L25" s="1">
        <v>30.7</v>
      </c>
      <c r="N25" s="1"/>
      <c r="O25" s="1"/>
      <c r="P25" s="1"/>
      <c r="Q25" s="1">
        <v>12.7</v>
      </c>
      <c r="R25" s="1">
        <f>(G25*0.2)+G25</f>
        <v>28.92</v>
      </c>
      <c r="S25" s="1">
        <f>(H25*0.3)+H25</f>
        <v>53.95</v>
      </c>
      <c r="T25" s="1">
        <f>(I25*0.5)+I25</f>
        <v>58.800000000000004</v>
      </c>
      <c r="U25" s="1">
        <f>(J25*0.7)+J25</f>
        <v>40.97</v>
      </c>
      <c r="V25" s="1">
        <f>(K25*0.9)+K25</f>
        <v>52.06</v>
      </c>
      <c r="W25" s="1">
        <f>(L25*1.1)+L25</f>
        <v>64.47</v>
      </c>
    </row>
    <row r="26" spans="1:23" ht="16" x14ac:dyDescent="0.2">
      <c r="A26" s="1" t="s">
        <v>71</v>
      </c>
      <c r="B26" s="16" t="s">
        <v>895</v>
      </c>
      <c r="C26" s="1"/>
      <c r="D26" s="1"/>
      <c r="E26" s="1"/>
      <c r="F26" s="1">
        <v>9.5</v>
      </c>
      <c r="G26" s="1">
        <v>27</v>
      </c>
      <c r="H26" s="1">
        <v>32.1</v>
      </c>
      <c r="I26" s="1">
        <v>29.9</v>
      </c>
      <c r="J26" s="1">
        <v>37.6</v>
      </c>
      <c r="K26" s="1">
        <v>43.6</v>
      </c>
      <c r="L26" s="1">
        <v>35.4</v>
      </c>
      <c r="N26" s="1"/>
      <c r="O26" s="1"/>
      <c r="P26" s="1"/>
      <c r="Q26" s="1">
        <v>9.5</v>
      </c>
      <c r="R26" s="1">
        <f t="shared" ref="R26" si="1">(G26*0.2)+G26</f>
        <v>32.4</v>
      </c>
      <c r="S26" s="1">
        <f>(H26*0.3)+H26</f>
        <v>41.730000000000004</v>
      </c>
      <c r="T26" s="1">
        <f>(I26*0.5)+I26</f>
        <v>44.849999999999994</v>
      </c>
      <c r="U26" s="1">
        <f>(J26*0.7)+J26</f>
        <v>63.92</v>
      </c>
      <c r="V26" s="1">
        <f>(K26*0.9)+K26</f>
        <v>82.84</v>
      </c>
      <c r="W26" s="1">
        <f>(L26*1.1)+L26</f>
        <v>74.34</v>
      </c>
    </row>
    <row r="27" spans="1:23" ht="16" x14ac:dyDescent="0.2">
      <c r="A27" s="1" t="s">
        <v>72</v>
      </c>
      <c r="B27" s="16" t="s">
        <v>896</v>
      </c>
      <c r="C27" s="1"/>
      <c r="D27" s="1">
        <v>2.8</v>
      </c>
      <c r="E27" s="1">
        <v>0.1</v>
      </c>
      <c r="F27" s="1">
        <v>10.199999999999999</v>
      </c>
      <c r="G27" s="1">
        <v>11.4</v>
      </c>
      <c r="H27" s="1">
        <v>1.5</v>
      </c>
      <c r="I27" s="1">
        <v>0.1</v>
      </c>
      <c r="J27" s="1"/>
      <c r="N27" s="1"/>
      <c r="O27" s="1">
        <v>2.8</v>
      </c>
      <c r="P27" s="1">
        <f t="shared" ref="P27" si="2">(E27*0.2)+E27</f>
        <v>0.12000000000000001</v>
      </c>
      <c r="Q27" s="1">
        <f>(F27*0.4)+F27</f>
        <v>14.28</v>
      </c>
      <c r="R27" s="1">
        <f>(G27*0.6)+G27</f>
        <v>18.240000000000002</v>
      </c>
      <c r="S27" s="1">
        <f>(H27*0.7)+H27</f>
        <v>2.5499999999999998</v>
      </c>
      <c r="T27" s="1"/>
      <c r="U27" s="1"/>
    </row>
    <row r="28" spans="1:23" ht="16" x14ac:dyDescent="0.2">
      <c r="A28" s="1" t="s">
        <v>73</v>
      </c>
      <c r="B28" s="16" t="s">
        <v>897</v>
      </c>
      <c r="C28" s="1"/>
      <c r="D28" s="1"/>
      <c r="E28" s="1"/>
      <c r="F28" s="1">
        <v>7.9</v>
      </c>
      <c r="G28" s="1">
        <v>8</v>
      </c>
      <c r="H28" s="1">
        <v>1.3</v>
      </c>
      <c r="I28" s="1"/>
      <c r="J28" s="1"/>
      <c r="N28" s="1"/>
      <c r="O28" s="1"/>
      <c r="P28" s="1"/>
      <c r="Q28" s="1">
        <v>7.9</v>
      </c>
      <c r="R28" s="1">
        <f t="shared" ref="R28" si="3">(G28*0.2)+G28</f>
        <v>9.6</v>
      </c>
      <c r="S28" s="1">
        <f>(H28*0.3)+H28</f>
        <v>1.69</v>
      </c>
      <c r="T28" s="1"/>
      <c r="U28" s="1"/>
      <c r="W28" s="4"/>
    </row>
    <row r="29" spans="1:23" x14ac:dyDescent="0.2">
      <c r="A29" s="3"/>
      <c r="B29" s="3"/>
      <c r="C29" s="1"/>
      <c r="D29" s="1"/>
      <c r="E29" s="1"/>
      <c r="F29" s="1"/>
      <c r="G29" s="1"/>
      <c r="H29" s="1"/>
      <c r="I29" s="1"/>
      <c r="J29" s="1"/>
      <c r="M29" s="3" t="s">
        <v>14</v>
      </c>
      <c r="N29" s="1">
        <f t="shared" ref="N29:W29" si="4">SUM(N2:N28)</f>
        <v>81.599999999999994</v>
      </c>
      <c r="O29" s="1">
        <f t="shared" si="4"/>
        <v>98.219999999999985</v>
      </c>
      <c r="P29" s="1">
        <f t="shared" si="4"/>
        <v>105.88</v>
      </c>
      <c r="Q29" s="1">
        <f t="shared" si="4"/>
        <v>129.82</v>
      </c>
      <c r="R29" s="1">
        <f t="shared" si="4"/>
        <v>127.67000000000002</v>
      </c>
      <c r="S29" s="1">
        <f t="shared" si="4"/>
        <v>139.70000000000002</v>
      </c>
      <c r="T29" s="1">
        <f t="shared" si="4"/>
        <v>141.55000000000001</v>
      </c>
      <c r="U29" s="1">
        <f t="shared" si="4"/>
        <v>157.63</v>
      </c>
      <c r="V29" s="1">
        <f t="shared" si="4"/>
        <v>193.94</v>
      </c>
      <c r="W29" s="1">
        <f t="shared" si="4"/>
        <v>194.93</v>
      </c>
    </row>
    <row r="31" spans="1:23" x14ac:dyDescent="0.2">
      <c r="C31" s="1"/>
      <c r="D31" s="1"/>
      <c r="E31" s="1"/>
      <c r="F31" s="1"/>
      <c r="G31" s="1"/>
      <c r="H31" s="1"/>
      <c r="I31" s="1"/>
      <c r="J31" s="1"/>
      <c r="N31" s="1">
        <v>100</v>
      </c>
      <c r="O31" s="1">
        <v>110</v>
      </c>
      <c r="P31" s="1">
        <v>130</v>
      </c>
      <c r="Q31" s="1">
        <v>150</v>
      </c>
      <c r="R31" s="1">
        <v>170</v>
      </c>
      <c r="S31" s="1">
        <v>180</v>
      </c>
      <c r="T31" s="1">
        <v>200</v>
      </c>
      <c r="U31" s="1">
        <v>220</v>
      </c>
      <c r="V31" s="1">
        <v>240</v>
      </c>
      <c r="W31" s="1">
        <v>260</v>
      </c>
    </row>
    <row r="33" spans="1:23" x14ac:dyDescent="0.2">
      <c r="A33" s="8"/>
      <c r="B33" s="8"/>
      <c r="C33" s="1"/>
      <c r="D33" s="1"/>
      <c r="E33" s="1"/>
      <c r="F33" s="1"/>
      <c r="G33" s="1"/>
      <c r="H33" s="1"/>
      <c r="I33" s="1"/>
      <c r="J33" s="1"/>
      <c r="N33" s="1">
        <f>N29</f>
        <v>81.599999999999994</v>
      </c>
      <c r="O33" s="1">
        <f>SUM(N33+O29)</f>
        <v>179.82</v>
      </c>
      <c r="P33" s="1">
        <f t="shared" ref="P33:T33" si="5">SUM(O33+P29)</f>
        <v>285.7</v>
      </c>
      <c r="Q33" s="1">
        <f t="shared" si="5"/>
        <v>415.52</v>
      </c>
      <c r="R33" s="1">
        <f t="shared" si="5"/>
        <v>543.19000000000005</v>
      </c>
      <c r="S33" s="1">
        <f t="shared" si="5"/>
        <v>682.8900000000001</v>
      </c>
      <c r="T33" s="1">
        <f t="shared" si="5"/>
        <v>824.44</v>
      </c>
      <c r="U33" s="1">
        <f>SUM(T33+U29)</f>
        <v>982.07</v>
      </c>
      <c r="V33" s="1">
        <f>SUM(U33+V29)</f>
        <v>1176.01</v>
      </c>
      <c r="W33" s="1">
        <f>SUM(V33+W29)</f>
        <v>1370.94</v>
      </c>
    </row>
    <row r="34" spans="1:23" x14ac:dyDescent="0.2">
      <c r="C34" s="1"/>
      <c r="D34" s="1"/>
      <c r="E34" s="1"/>
      <c r="F34" s="1"/>
      <c r="N34" s="3"/>
      <c r="O34" s="3"/>
      <c r="P34" s="3"/>
      <c r="Q34" s="3"/>
      <c r="R34" s="3"/>
      <c r="S34" s="3"/>
      <c r="T34" s="3"/>
    </row>
    <row r="35" spans="1:23" x14ac:dyDescent="0.2">
      <c r="C35" s="4"/>
      <c r="D35" s="4"/>
      <c r="E35" s="4"/>
      <c r="F35" s="4"/>
      <c r="G35" s="4"/>
      <c r="H35" s="4"/>
      <c r="I35" s="4"/>
      <c r="J35" s="4"/>
    </row>
    <row r="36" spans="1:23" x14ac:dyDescent="0.2">
      <c r="C36" s="6"/>
      <c r="D36" s="6"/>
      <c r="E36" s="6"/>
      <c r="F36" s="6"/>
      <c r="G36" s="6"/>
      <c r="H36" s="6"/>
      <c r="I36" s="6"/>
      <c r="J36" s="6"/>
      <c r="N36" s="1">
        <v>100</v>
      </c>
      <c r="O36" s="1">
        <f>SUM(N31:O31)</f>
        <v>210</v>
      </c>
      <c r="P36" s="1">
        <f>SUM(N$31:P31)</f>
        <v>340</v>
      </c>
      <c r="Q36" s="1">
        <f>SUM(N$31:Q31)</f>
        <v>490</v>
      </c>
      <c r="R36" s="1">
        <f>SUM(N$31:R31)</f>
        <v>660</v>
      </c>
      <c r="S36" s="1">
        <f>SUM(N$31:S31)</f>
        <v>840</v>
      </c>
      <c r="T36" s="1">
        <f>SUM(N$31:T31)</f>
        <v>1040</v>
      </c>
      <c r="U36" s="1">
        <f>SUM(N$31:U31)</f>
        <v>1260</v>
      </c>
      <c r="V36" s="1">
        <f>SUM(O$31:V31)</f>
        <v>1400</v>
      </c>
      <c r="W36" s="1">
        <f>SUM(P$31:W31)</f>
        <v>1550</v>
      </c>
    </row>
    <row r="38" spans="1:23" x14ac:dyDescent="0.2">
      <c r="N38" s="4" t="s">
        <v>1563</v>
      </c>
      <c r="O38" s="4" t="s">
        <v>1563</v>
      </c>
      <c r="P38" s="4" t="s">
        <v>1563</v>
      </c>
      <c r="Q38" s="4" t="s">
        <v>1563</v>
      </c>
      <c r="R38" s="4" t="s">
        <v>1563</v>
      </c>
      <c r="S38" s="4" t="s">
        <v>1563</v>
      </c>
      <c r="T38" s="4" t="s">
        <v>1563</v>
      </c>
      <c r="U38" s="4" t="s">
        <v>1563</v>
      </c>
      <c r="V38" s="4" t="s">
        <v>1563</v>
      </c>
      <c r="W38" s="4" t="s">
        <v>1563</v>
      </c>
    </row>
    <row r="39" spans="1:23" ht="16" x14ac:dyDescent="0.2">
      <c r="A39" s="15"/>
      <c r="B39" s="15"/>
      <c r="C39" s="16"/>
      <c r="N39" s="6">
        <f>(N33/N36)*100</f>
        <v>81.599999999999994</v>
      </c>
      <c r="O39" s="6">
        <f>(O33/O36)*100</f>
        <v>85.628571428571419</v>
      </c>
      <c r="P39" s="6">
        <f t="shared" ref="P39:W39" si="6">(P33/P36)*100</f>
        <v>84.02941176470587</v>
      </c>
      <c r="Q39" s="6">
        <f t="shared" si="6"/>
        <v>84.8</v>
      </c>
      <c r="R39" s="6">
        <f t="shared" si="6"/>
        <v>82.301515151515162</v>
      </c>
      <c r="S39" s="6">
        <f t="shared" si="6"/>
        <v>81.296428571428578</v>
      </c>
      <c r="T39" s="6">
        <f t="shared" si="6"/>
        <v>79.273076923076928</v>
      </c>
      <c r="U39" s="6">
        <f t="shared" si="6"/>
        <v>77.942063492063497</v>
      </c>
      <c r="V39" s="6">
        <f t="shared" si="6"/>
        <v>84.000714285714281</v>
      </c>
      <c r="W39" s="6">
        <f t="shared" si="6"/>
        <v>88.447741935483876</v>
      </c>
    </row>
    <row r="40" spans="1:23" ht="16" x14ac:dyDescent="0.2">
      <c r="A40" s="15"/>
      <c r="B40" s="15"/>
      <c r="C40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J21"/>
  <sheetViews>
    <sheetView topLeftCell="J2" workbookViewId="0">
      <selection activeCell="T20" sqref="T20:AJ20"/>
    </sheetView>
  </sheetViews>
  <sheetFormatPr baseColWidth="10" defaultRowHeight="15" x14ac:dyDescent="0.2"/>
  <sheetData>
    <row r="1" spans="1:36" x14ac:dyDescent="0.2">
      <c r="A1" s="3" t="s">
        <v>15</v>
      </c>
      <c r="B1" s="3">
        <v>1976</v>
      </c>
      <c r="C1" s="3">
        <v>1979</v>
      </c>
      <c r="D1" s="3">
        <v>1980</v>
      </c>
      <c r="E1" s="3">
        <v>1983</v>
      </c>
      <c r="F1" s="3">
        <v>1985</v>
      </c>
      <c r="G1" s="3">
        <v>1987</v>
      </c>
      <c r="H1" s="3">
        <v>1991</v>
      </c>
      <c r="I1" s="3">
        <v>1995</v>
      </c>
      <c r="J1" s="3">
        <v>1999</v>
      </c>
      <c r="K1" s="3">
        <v>2002</v>
      </c>
      <c r="L1" s="3">
        <v>2005</v>
      </c>
      <c r="M1" s="3">
        <v>2009</v>
      </c>
      <c r="N1" s="3">
        <v>2011</v>
      </c>
      <c r="O1" s="3">
        <v>2015</v>
      </c>
      <c r="P1" s="3">
        <v>2019</v>
      </c>
      <c r="Q1" s="3">
        <v>2022</v>
      </c>
      <c r="R1" s="3">
        <v>2024</v>
      </c>
      <c r="T1" s="3">
        <v>1976</v>
      </c>
      <c r="U1" s="3">
        <v>1979</v>
      </c>
      <c r="V1" s="3">
        <v>1980</v>
      </c>
      <c r="W1" s="3">
        <v>1983</v>
      </c>
      <c r="X1" s="3">
        <v>1985</v>
      </c>
      <c r="Y1" s="3">
        <v>1987</v>
      </c>
      <c r="Z1" s="3">
        <v>1991</v>
      </c>
      <c r="AA1" s="3">
        <v>1995</v>
      </c>
      <c r="AB1" s="3">
        <v>1999</v>
      </c>
      <c r="AC1" s="3">
        <v>2002</v>
      </c>
      <c r="AD1" s="3">
        <v>2005</v>
      </c>
      <c r="AE1" s="3">
        <v>2009</v>
      </c>
      <c r="AF1" s="3">
        <v>2011</v>
      </c>
      <c r="AG1" s="3">
        <v>2015</v>
      </c>
      <c r="AH1" s="3">
        <v>2019</v>
      </c>
      <c r="AI1" s="3">
        <v>2022</v>
      </c>
      <c r="AJ1" s="3">
        <v>2024</v>
      </c>
    </row>
    <row r="2" spans="1:36" x14ac:dyDescent="0.2">
      <c r="A2" s="8" t="s">
        <v>19</v>
      </c>
      <c r="B2" s="1">
        <v>34.9</v>
      </c>
      <c r="C2" s="1">
        <v>27.3</v>
      </c>
      <c r="D2" s="1">
        <v>27.7</v>
      </c>
      <c r="E2" s="1">
        <v>36.1</v>
      </c>
      <c r="F2" s="1">
        <v>20.8</v>
      </c>
      <c r="G2" s="1">
        <v>22.2</v>
      </c>
      <c r="H2" s="1">
        <v>29.1</v>
      </c>
      <c r="I2" s="1">
        <v>43.8</v>
      </c>
      <c r="J2" s="1">
        <v>44</v>
      </c>
      <c r="K2" s="1">
        <v>37.799999999999997</v>
      </c>
      <c r="L2" s="1">
        <v>45</v>
      </c>
      <c r="M2" s="1">
        <v>36.6</v>
      </c>
      <c r="N2" s="1">
        <v>28.1</v>
      </c>
      <c r="O2" s="1">
        <v>32.4</v>
      </c>
      <c r="P2" s="1">
        <v>36.4</v>
      </c>
      <c r="Q2" s="1">
        <v>41.4</v>
      </c>
      <c r="R2" s="1">
        <v>28</v>
      </c>
      <c r="T2" s="1">
        <v>34.9</v>
      </c>
      <c r="U2" s="1">
        <f>(C2*0.15)+C2</f>
        <v>31.395</v>
      </c>
      <c r="V2" s="1">
        <f>(D2*0.2)+D2</f>
        <v>33.24</v>
      </c>
      <c r="W2" s="1">
        <f>(E2*0.35)+E2</f>
        <v>48.734999999999999</v>
      </c>
      <c r="X2" s="1">
        <f>(F2*0.45)+F2</f>
        <v>30.160000000000004</v>
      </c>
      <c r="Y2" s="1">
        <f>(G2*0.55)+G2</f>
        <v>34.409999999999997</v>
      </c>
      <c r="Z2" s="1">
        <f>(H2*0.75)+H2</f>
        <v>50.925000000000004</v>
      </c>
      <c r="AA2" s="1">
        <f>(I2*0.95)+I2</f>
        <v>85.41</v>
      </c>
      <c r="AB2" s="1">
        <f>(J2*1.15)+J2</f>
        <v>94.6</v>
      </c>
      <c r="AC2" s="1">
        <f>(K2*1.3)+K2</f>
        <v>86.94</v>
      </c>
      <c r="AD2" s="1">
        <f>(L2*1.45)+L2</f>
        <v>110.25</v>
      </c>
      <c r="AE2" s="1">
        <f>(M2*1.65)+M2</f>
        <v>96.990000000000009</v>
      </c>
      <c r="AF2" s="1">
        <f>(N2*1.75)+N2</f>
        <v>77.275000000000006</v>
      </c>
      <c r="AG2" s="1">
        <f>(O2*1.95)+O2</f>
        <v>95.579999999999984</v>
      </c>
      <c r="AH2" s="1">
        <f>(P2*2.15)+P2</f>
        <v>114.66</v>
      </c>
      <c r="AI2" s="1">
        <f>(Q2*2.3)+Q2</f>
        <v>136.61999999999998</v>
      </c>
      <c r="AJ2" s="1">
        <f>(R2*2.4)+R2</f>
        <v>95.2</v>
      </c>
    </row>
    <row r="3" spans="1:36" x14ac:dyDescent="0.2">
      <c r="A3" s="8" t="s">
        <v>20</v>
      </c>
      <c r="B3" s="1">
        <v>24.4</v>
      </c>
      <c r="C3" s="1">
        <v>44.9</v>
      </c>
      <c r="D3" s="1">
        <v>47.5</v>
      </c>
      <c r="E3" s="1">
        <v>27.2</v>
      </c>
      <c r="F3" s="1">
        <v>29.9</v>
      </c>
      <c r="G3" s="1">
        <v>50.2</v>
      </c>
      <c r="H3" s="1">
        <v>50.6</v>
      </c>
      <c r="I3" s="1">
        <v>34.1</v>
      </c>
      <c r="J3" s="1">
        <v>32.299999999999997</v>
      </c>
      <c r="K3" s="1">
        <v>40.200000000000003</v>
      </c>
      <c r="L3" s="1">
        <v>28.8</v>
      </c>
      <c r="M3" s="1">
        <v>29.1</v>
      </c>
      <c r="N3" s="1">
        <v>38.6</v>
      </c>
      <c r="O3" s="1">
        <v>38.4</v>
      </c>
      <c r="P3" s="1">
        <v>27.8</v>
      </c>
      <c r="Q3" s="1">
        <v>29.1</v>
      </c>
      <c r="R3" s="1">
        <v>28.8</v>
      </c>
      <c r="T3" s="1">
        <v>24.4</v>
      </c>
      <c r="U3" s="1">
        <f t="shared" ref="U3:U5" si="0">(C3*0.15)+C3</f>
        <v>51.634999999999998</v>
      </c>
      <c r="V3" s="1">
        <f t="shared" ref="V3:V5" si="1">(D3*0.2)+D3</f>
        <v>57</v>
      </c>
      <c r="W3" s="1">
        <f t="shared" ref="W3:W5" si="2">(E3*0.35)+E3</f>
        <v>36.72</v>
      </c>
      <c r="X3" s="1">
        <f t="shared" ref="X3:X5" si="3">(F3*0.45)+F3</f>
        <v>43.354999999999997</v>
      </c>
      <c r="Y3" s="1">
        <f t="shared" ref="Y3:Y5" si="4">(G3*0.55)+G3</f>
        <v>77.81</v>
      </c>
      <c r="Z3" s="1">
        <f t="shared" ref="Z3:Z5" si="5">(H3*0.75)+H3</f>
        <v>88.550000000000011</v>
      </c>
      <c r="AA3" s="1">
        <f t="shared" ref="AA3:AA5" si="6">(I3*0.95)+I3</f>
        <v>66.495000000000005</v>
      </c>
      <c r="AB3" s="1">
        <f t="shared" ref="AB3:AB5" si="7">(J3*1.15)+J3</f>
        <v>69.444999999999993</v>
      </c>
      <c r="AC3" s="1">
        <f t="shared" ref="AC3:AC5" si="8">(K3*1.3)+K3</f>
        <v>92.460000000000008</v>
      </c>
      <c r="AD3" s="1">
        <f t="shared" ref="AD3:AD5" si="9">(L3*1.45)+L3</f>
        <v>70.56</v>
      </c>
      <c r="AE3" s="1">
        <f t="shared" ref="AE3:AE5" si="10">(M3*1.65)+M3</f>
        <v>77.115000000000009</v>
      </c>
      <c r="AF3" s="1">
        <f t="shared" ref="AF3:AF5" si="11">(N3*1.75)+N3</f>
        <v>106.15</v>
      </c>
      <c r="AG3" s="1">
        <f t="shared" ref="AG3:AG5" si="12">(O3*1.95)+O3</f>
        <v>113.28</v>
      </c>
      <c r="AH3" s="1">
        <f t="shared" ref="AH3:AH5" si="13">(P3*2.15)+P3</f>
        <v>87.57</v>
      </c>
      <c r="AI3" s="1">
        <f t="shared" ref="AI3:AI5" si="14">(Q3*2.3)+Q3</f>
        <v>96.03</v>
      </c>
      <c r="AJ3" s="1">
        <f t="shared" ref="AJ3:AJ5" si="15">(R3*2.4)+R3</f>
        <v>97.92</v>
      </c>
    </row>
    <row r="4" spans="1:36" x14ac:dyDescent="0.2">
      <c r="A4" s="8" t="s">
        <v>23</v>
      </c>
      <c r="B4" s="1">
        <v>16</v>
      </c>
      <c r="C4" s="1"/>
      <c r="D4" s="1"/>
      <c r="E4" s="1">
        <v>12.5</v>
      </c>
      <c r="F4" s="1">
        <v>10</v>
      </c>
      <c r="G4" s="1">
        <v>4.4000000000000004</v>
      </c>
      <c r="H4" s="1">
        <v>4.4000000000000004</v>
      </c>
      <c r="I4" s="1">
        <v>9</v>
      </c>
      <c r="J4" s="1">
        <v>8.3000000000000007</v>
      </c>
      <c r="K4" s="1">
        <v>8.6999999999999993</v>
      </c>
      <c r="L4" s="1">
        <v>7.3</v>
      </c>
      <c r="M4" s="1">
        <v>10.4</v>
      </c>
      <c r="N4" s="1">
        <v>11.7</v>
      </c>
      <c r="O4" s="1"/>
      <c r="P4" s="3">
        <v>4.2</v>
      </c>
      <c r="Q4" s="1">
        <v>1.6</v>
      </c>
      <c r="R4" s="1"/>
      <c r="T4" s="1">
        <v>16</v>
      </c>
      <c r="U4" s="1">
        <f t="shared" si="0"/>
        <v>0</v>
      </c>
      <c r="V4" s="1">
        <f t="shared" si="1"/>
        <v>0</v>
      </c>
      <c r="W4" s="1">
        <f t="shared" si="2"/>
        <v>16.875</v>
      </c>
      <c r="X4" s="1">
        <f t="shared" si="3"/>
        <v>14.5</v>
      </c>
      <c r="Y4" s="1">
        <f t="shared" si="4"/>
        <v>6.82</v>
      </c>
      <c r="Z4" s="1">
        <f t="shared" si="5"/>
        <v>7.7000000000000011</v>
      </c>
      <c r="AA4" s="1">
        <f t="shared" si="6"/>
        <v>17.549999999999997</v>
      </c>
      <c r="AB4" s="1">
        <f t="shared" si="7"/>
        <v>17.844999999999999</v>
      </c>
      <c r="AC4" s="1">
        <f t="shared" si="8"/>
        <v>20.009999999999998</v>
      </c>
      <c r="AD4" s="1">
        <f t="shared" si="9"/>
        <v>17.884999999999998</v>
      </c>
      <c r="AE4" s="1">
        <f t="shared" si="10"/>
        <v>27.560000000000002</v>
      </c>
      <c r="AF4" s="1">
        <f t="shared" si="11"/>
        <v>32.174999999999997</v>
      </c>
      <c r="AG4" s="1"/>
      <c r="AH4" s="1">
        <f t="shared" si="13"/>
        <v>13.23</v>
      </c>
      <c r="AI4" s="1">
        <f t="shared" si="14"/>
        <v>5.2799999999999994</v>
      </c>
      <c r="AJ4" s="1"/>
    </row>
    <row r="5" spans="1:36" x14ac:dyDescent="0.2">
      <c r="A5" s="8" t="s">
        <v>21</v>
      </c>
      <c r="B5" s="1">
        <v>14.4</v>
      </c>
      <c r="C5" s="1">
        <v>18.8</v>
      </c>
      <c r="D5" s="1">
        <v>16.8</v>
      </c>
      <c r="E5" s="1">
        <v>18.100000000000001</v>
      </c>
      <c r="F5" s="1">
        <v>15.5</v>
      </c>
      <c r="G5" s="1">
        <v>12.1</v>
      </c>
      <c r="H5" s="1">
        <v>8.6</v>
      </c>
      <c r="I5" s="1">
        <v>8.6</v>
      </c>
      <c r="J5" s="1">
        <v>9</v>
      </c>
      <c r="K5" s="1">
        <v>6.9</v>
      </c>
      <c r="L5" s="1">
        <v>7.6</v>
      </c>
      <c r="M5" s="1">
        <v>7.9</v>
      </c>
      <c r="N5" s="1">
        <v>7.9</v>
      </c>
      <c r="O5" s="1">
        <v>8.3000000000000007</v>
      </c>
      <c r="P5" s="1">
        <v>6.3</v>
      </c>
      <c r="Q5" s="1">
        <v>4.3</v>
      </c>
      <c r="R5" s="1">
        <v>3.2</v>
      </c>
      <c r="T5" s="1">
        <v>14.4</v>
      </c>
      <c r="U5" s="1">
        <f t="shared" si="0"/>
        <v>21.62</v>
      </c>
      <c r="V5" s="1">
        <f t="shared" si="1"/>
        <v>20.16</v>
      </c>
      <c r="W5" s="1">
        <f t="shared" si="2"/>
        <v>24.435000000000002</v>
      </c>
      <c r="X5" s="1">
        <f t="shared" si="3"/>
        <v>22.475000000000001</v>
      </c>
      <c r="Y5" s="1">
        <f t="shared" si="4"/>
        <v>18.754999999999999</v>
      </c>
      <c r="Z5" s="1">
        <f t="shared" si="5"/>
        <v>15.049999999999999</v>
      </c>
      <c r="AA5" s="1">
        <f t="shared" si="6"/>
        <v>16.77</v>
      </c>
      <c r="AB5" s="1">
        <f t="shared" si="7"/>
        <v>19.350000000000001</v>
      </c>
      <c r="AC5" s="1">
        <f t="shared" si="8"/>
        <v>15.870000000000001</v>
      </c>
      <c r="AD5" s="1">
        <f t="shared" si="9"/>
        <v>18.619999999999997</v>
      </c>
      <c r="AE5" s="1">
        <f t="shared" si="10"/>
        <v>20.935000000000002</v>
      </c>
      <c r="AF5" s="1">
        <f t="shared" si="11"/>
        <v>21.725000000000001</v>
      </c>
      <c r="AG5" s="1">
        <f t="shared" si="12"/>
        <v>24.485000000000003</v>
      </c>
      <c r="AH5" s="1">
        <f t="shared" si="13"/>
        <v>19.844999999999999</v>
      </c>
      <c r="AI5" s="1">
        <f t="shared" si="14"/>
        <v>14.189999999999998</v>
      </c>
      <c r="AJ5" s="1">
        <f t="shared" si="15"/>
        <v>10.879999999999999</v>
      </c>
    </row>
    <row r="6" spans="1:36" x14ac:dyDescent="0.2">
      <c r="A6" s="8" t="s">
        <v>373</v>
      </c>
      <c r="B6" s="1"/>
      <c r="C6" s="1"/>
      <c r="D6" s="1"/>
      <c r="E6" s="1"/>
      <c r="F6" s="1"/>
      <c r="G6" s="1"/>
      <c r="H6" s="1"/>
      <c r="I6" s="1"/>
      <c r="J6" s="1">
        <v>2.4</v>
      </c>
      <c r="K6" s="1">
        <v>2.7</v>
      </c>
      <c r="L6" s="1">
        <v>6.4</v>
      </c>
      <c r="M6" s="1">
        <v>9.8000000000000007</v>
      </c>
      <c r="N6" s="1">
        <v>5.2</v>
      </c>
      <c r="O6" s="1">
        <v>10.199999999999999</v>
      </c>
      <c r="P6" s="1">
        <v>9.5</v>
      </c>
      <c r="Q6" s="1">
        <v>4.4000000000000004</v>
      </c>
      <c r="R6" s="1">
        <v>4.4000000000000004</v>
      </c>
      <c r="T6" s="1"/>
      <c r="U6" s="1"/>
      <c r="V6" s="1"/>
      <c r="W6" s="1"/>
      <c r="X6" s="1"/>
      <c r="Y6" s="1"/>
      <c r="Z6" s="1"/>
      <c r="AA6" s="1"/>
      <c r="AB6" s="1">
        <v>2.4</v>
      </c>
      <c r="AC6" s="1">
        <f>(K6*0.15)+K6</f>
        <v>3.1050000000000004</v>
      </c>
      <c r="AD6" s="1">
        <f>(L6*0.3)+L6</f>
        <v>8.32</v>
      </c>
      <c r="AE6" s="1">
        <f>(M6*0.5)+M6</f>
        <v>14.700000000000001</v>
      </c>
      <c r="AF6" s="1">
        <f>(N6*0.6)+N6</f>
        <v>8.32</v>
      </c>
      <c r="AG6" s="1">
        <f>(O6*0.8)+O6</f>
        <v>18.36</v>
      </c>
      <c r="AH6" s="1">
        <f>(P6*1)+P6</f>
        <v>19</v>
      </c>
      <c r="AI6" s="1">
        <f>(Q6*1.15)+Q6</f>
        <v>9.4600000000000009</v>
      </c>
      <c r="AJ6" s="1">
        <f>(R6*1.25)+R6</f>
        <v>9.9</v>
      </c>
    </row>
    <row r="7" spans="1:36" x14ac:dyDescent="0.2">
      <c r="A7" s="8" t="s">
        <v>1416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1</v>
      </c>
      <c r="O7" s="1">
        <v>1.4</v>
      </c>
      <c r="P7" s="1">
        <v>3.3</v>
      </c>
      <c r="Q7" s="1">
        <v>1.6</v>
      </c>
      <c r="R7" s="1">
        <v>2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>
        <v>1</v>
      </c>
      <c r="AG7" s="1">
        <f>(O7*0.2)+O7</f>
        <v>1.68</v>
      </c>
      <c r="AH7" s="1">
        <f>(P7*0.4)+P7</f>
        <v>4.62</v>
      </c>
      <c r="AI7" s="1">
        <f>(Q7*0.55)+Q7</f>
        <v>2.4800000000000004</v>
      </c>
      <c r="AJ7" s="1">
        <f>(R7*0.65)+R7</f>
        <v>3.3</v>
      </c>
    </row>
    <row r="8" spans="1:36" x14ac:dyDescent="0.2">
      <c r="A8" s="8" t="s">
        <v>1486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v>1.3</v>
      </c>
      <c r="Q8" s="1">
        <v>7.2</v>
      </c>
      <c r="R8" s="1">
        <v>18.100000000000001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>
        <v>1.3</v>
      </c>
      <c r="AI8" s="1">
        <f>(Q8*0.15)+Q8</f>
        <v>8.2800000000000011</v>
      </c>
      <c r="AJ8" s="1">
        <f>(R8*0.25)+R8</f>
        <v>22.625</v>
      </c>
    </row>
    <row r="9" spans="1:36" x14ac:dyDescent="0.2">
      <c r="A9" s="8" t="s">
        <v>1392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>
        <v>1.3</v>
      </c>
      <c r="Q9" s="1">
        <v>4.9000000000000004</v>
      </c>
      <c r="R9" s="1">
        <v>4.9000000000000004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>
        <v>1.3</v>
      </c>
      <c r="AI9" s="1">
        <f>(Q9*0.15)+Q9</f>
        <v>5.6350000000000007</v>
      </c>
      <c r="AJ9" s="1">
        <f>(R9*0.25)+R9</f>
        <v>6.125</v>
      </c>
    </row>
    <row r="10" spans="1:36" x14ac:dyDescent="0.2">
      <c r="A10" s="8" t="s">
        <v>1536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v>0.7</v>
      </c>
      <c r="P10" s="1">
        <v>1.1000000000000001</v>
      </c>
      <c r="Q10" s="1">
        <v>1.3</v>
      </c>
      <c r="R10" s="1">
        <v>3.2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>
        <v>0.7</v>
      </c>
      <c r="AH10" s="1">
        <f>(P10*0.2)+P10</f>
        <v>1.32</v>
      </c>
      <c r="AI10" s="1">
        <f>(Q10*0.35)+Q10</f>
        <v>1.7549999999999999</v>
      </c>
      <c r="AJ10" s="1">
        <f>(R10*0.45)+R10</f>
        <v>4.6400000000000006</v>
      </c>
    </row>
    <row r="11" spans="1:36" x14ac:dyDescent="0.2">
      <c r="A11" s="8" t="s">
        <v>22</v>
      </c>
      <c r="B11" s="1"/>
      <c r="C11" s="1"/>
      <c r="D11" s="1"/>
      <c r="E11" s="1"/>
      <c r="F11" s="1">
        <v>17.899999999999999</v>
      </c>
      <c r="G11" s="1">
        <v>4.9000000000000004</v>
      </c>
      <c r="H11" s="1">
        <v>0.6</v>
      </c>
      <c r="I11" s="1"/>
      <c r="J11" s="1"/>
      <c r="K11" s="1"/>
      <c r="L11" s="1"/>
      <c r="T11" s="1"/>
      <c r="U11" s="1"/>
      <c r="V11" s="1"/>
      <c r="W11" s="1"/>
      <c r="X11" s="1">
        <v>17.899999999999999</v>
      </c>
      <c r="Y11" s="1">
        <f>(G11*0.1)+G11</f>
        <v>5.3900000000000006</v>
      </c>
      <c r="Z11" s="1">
        <f>(H11*0.3)+H11</f>
        <v>0.78</v>
      </c>
      <c r="AA11" s="1"/>
      <c r="AB11" s="1"/>
      <c r="AC11" s="1"/>
      <c r="AD11" s="1"/>
      <c r="AE11" s="1"/>
      <c r="AF11" s="1"/>
      <c r="AG11" s="1"/>
    </row>
    <row r="12" spans="1:36" x14ac:dyDescent="0.2">
      <c r="S12" s="3" t="s">
        <v>14</v>
      </c>
      <c r="T12" s="1">
        <f t="shared" ref="T12:AJ12" si="16">SUM(T2:T11)</f>
        <v>89.7</v>
      </c>
      <c r="U12" s="1">
        <f t="shared" si="16"/>
        <v>104.65</v>
      </c>
      <c r="V12" s="1">
        <f t="shared" si="16"/>
        <v>110.4</v>
      </c>
      <c r="W12" s="1">
        <f t="shared" si="16"/>
        <v>126.765</v>
      </c>
      <c r="X12" s="1">
        <f t="shared" si="16"/>
        <v>128.39000000000001</v>
      </c>
      <c r="Y12" s="1">
        <f t="shared" si="16"/>
        <v>143.185</v>
      </c>
      <c r="Z12" s="1">
        <f t="shared" si="16"/>
        <v>163.00500000000002</v>
      </c>
      <c r="AA12" s="1">
        <f t="shared" si="16"/>
        <v>186.22499999999999</v>
      </c>
      <c r="AB12" s="1">
        <f t="shared" si="16"/>
        <v>203.64</v>
      </c>
      <c r="AC12" s="1">
        <f t="shared" si="16"/>
        <v>218.38499999999999</v>
      </c>
      <c r="AD12" s="1">
        <f t="shared" si="16"/>
        <v>225.63499999999999</v>
      </c>
      <c r="AE12" s="1">
        <f t="shared" si="16"/>
        <v>237.3</v>
      </c>
      <c r="AF12" s="1">
        <f t="shared" si="16"/>
        <v>246.64500000000001</v>
      </c>
      <c r="AG12" s="1">
        <f t="shared" si="16"/>
        <v>254.08499999999998</v>
      </c>
      <c r="AH12" s="1">
        <f t="shared" si="16"/>
        <v>262.84499999999997</v>
      </c>
      <c r="AI12" s="1">
        <f t="shared" si="16"/>
        <v>279.73</v>
      </c>
      <c r="AJ12" s="1">
        <f t="shared" si="16"/>
        <v>250.59000000000003</v>
      </c>
    </row>
    <row r="14" spans="1:36" ht="16" x14ac:dyDescent="0.2">
      <c r="A14" s="21"/>
      <c r="B14" s="16"/>
      <c r="T14" s="1">
        <v>100</v>
      </c>
      <c r="U14" s="1">
        <v>115</v>
      </c>
      <c r="V14" s="1">
        <v>120</v>
      </c>
      <c r="W14" s="1">
        <v>135</v>
      </c>
      <c r="X14" s="1">
        <v>145</v>
      </c>
      <c r="Y14" s="1">
        <v>155</v>
      </c>
      <c r="Z14" s="1">
        <v>175</v>
      </c>
      <c r="AA14" s="1">
        <v>195</v>
      </c>
      <c r="AB14" s="1">
        <v>215</v>
      </c>
      <c r="AC14" s="1">
        <v>230</v>
      </c>
      <c r="AD14" s="1">
        <v>245</v>
      </c>
      <c r="AE14" s="1">
        <v>265</v>
      </c>
      <c r="AF14" s="1">
        <v>275</v>
      </c>
      <c r="AG14" s="1">
        <v>295</v>
      </c>
      <c r="AH14" s="1">
        <v>315</v>
      </c>
      <c r="AI14" s="1">
        <v>330</v>
      </c>
      <c r="AJ14" s="1">
        <v>340</v>
      </c>
    </row>
    <row r="15" spans="1:36" ht="16" x14ac:dyDescent="0.2">
      <c r="A15" s="21"/>
      <c r="B15" s="16"/>
    </row>
    <row r="16" spans="1:36" ht="16" x14ac:dyDescent="0.2">
      <c r="A16" s="15"/>
      <c r="B16" s="1"/>
      <c r="T16" s="1">
        <f>T12</f>
        <v>89.7</v>
      </c>
      <c r="U16" s="1">
        <f>SUM(T16+U12)</f>
        <v>194.35000000000002</v>
      </c>
      <c r="V16" s="1">
        <f>SUM(U16+V12)</f>
        <v>304.75</v>
      </c>
      <c r="W16" s="1">
        <f>SUM(V16+W12)</f>
        <v>431.51499999999999</v>
      </c>
      <c r="X16" s="1">
        <f t="shared" ref="X16:AJ16" si="17">SUM(W16+X12)</f>
        <v>559.90499999999997</v>
      </c>
      <c r="Y16" s="1">
        <f t="shared" si="17"/>
        <v>703.08999999999992</v>
      </c>
      <c r="Z16" s="1">
        <f t="shared" si="17"/>
        <v>866.09499999999991</v>
      </c>
      <c r="AA16" s="1">
        <f t="shared" si="17"/>
        <v>1052.32</v>
      </c>
      <c r="AB16" s="1">
        <f t="shared" si="17"/>
        <v>1255.96</v>
      </c>
      <c r="AC16" s="1">
        <f t="shared" si="17"/>
        <v>1474.345</v>
      </c>
      <c r="AD16" s="1">
        <f t="shared" si="17"/>
        <v>1699.98</v>
      </c>
      <c r="AE16" s="1">
        <f t="shared" si="17"/>
        <v>1937.28</v>
      </c>
      <c r="AF16" s="1">
        <f t="shared" si="17"/>
        <v>2183.9250000000002</v>
      </c>
      <c r="AG16" s="1">
        <f t="shared" si="17"/>
        <v>2438.0100000000002</v>
      </c>
      <c r="AH16" s="1">
        <f t="shared" si="17"/>
        <v>2700.855</v>
      </c>
      <c r="AI16" s="1">
        <f t="shared" si="17"/>
        <v>2980.585</v>
      </c>
      <c r="AJ16" s="1">
        <f t="shared" si="17"/>
        <v>3231.1750000000002</v>
      </c>
    </row>
    <row r="17" spans="1:36" ht="16" x14ac:dyDescent="0.2">
      <c r="A17" s="15"/>
      <c r="B17" s="1"/>
      <c r="T17" s="3"/>
      <c r="U17" s="3"/>
      <c r="V17" s="3"/>
      <c r="W17" s="3"/>
      <c r="X17" s="1"/>
      <c r="Y17" s="1"/>
      <c r="Z17" s="1"/>
      <c r="AA17" s="1"/>
      <c r="AB17" s="1"/>
      <c r="AC17" s="1"/>
      <c r="AD17" s="6"/>
      <c r="AE17" s="6"/>
      <c r="AF17" s="1"/>
    </row>
    <row r="18" spans="1:36" x14ac:dyDescent="0.2">
      <c r="A18" s="1"/>
      <c r="B18" s="1"/>
      <c r="T18" s="1">
        <v>100</v>
      </c>
      <c r="U18" s="1">
        <f>SUM(T18+U14)</f>
        <v>215</v>
      </c>
      <c r="V18" s="1">
        <f>SUM(U18+V14)</f>
        <v>335</v>
      </c>
      <c r="W18" s="1">
        <f>SUM(V18+W14)</f>
        <v>470</v>
      </c>
      <c r="X18" s="1">
        <f t="shared" ref="X18:AJ18" si="18">SUM(W18+X14)</f>
        <v>615</v>
      </c>
      <c r="Y18" s="1">
        <f t="shared" si="18"/>
        <v>770</v>
      </c>
      <c r="Z18" s="1">
        <f t="shared" si="18"/>
        <v>945</v>
      </c>
      <c r="AA18" s="1">
        <f t="shared" si="18"/>
        <v>1140</v>
      </c>
      <c r="AB18" s="1">
        <f t="shared" si="18"/>
        <v>1355</v>
      </c>
      <c r="AC18" s="1">
        <f t="shared" si="18"/>
        <v>1585</v>
      </c>
      <c r="AD18" s="1">
        <f t="shared" si="18"/>
        <v>1830</v>
      </c>
      <c r="AE18" s="1">
        <f t="shared" si="18"/>
        <v>2095</v>
      </c>
      <c r="AF18" s="1">
        <f t="shared" si="18"/>
        <v>2370</v>
      </c>
      <c r="AG18" s="1">
        <f t="shared" si="18"/>
        <v>2665</v>
      </c>
      <c r="AH18" s="1">
        <f t="shared" si="18"/>
        <v>2980</v>
      </c>
      <c r="AI18" s="1">
        <f t="shared" si="18"/>
        <v>3310</v>
      </c>
      <c r="AJ18" s="1">
        <f t="shared" si="18"/>
        <v>3650</v>
      </c>
    </row>
    <row r="19" spans="1:36" x14ac:dyDescent="0.2">
      <c r="A19" s="1"/>
      <c r="B19" s="1"/>
    </row>
    <row r="20" spans="1:36" x14ac:dyDescent="0.2">
      <c r="T20" s="4" t="s">
        <v>1563</v>
      </c>
      <c r="U20" s="4" t="s">
        <v>1563</v>
      </c>
      <c r="V20" s="4" t="s">
        <v>1563</v>
      </c>
      <c r="W20" s="4" t="s">
        <v>1563</v>
      </c>
      <c r="X20" s="4" t="s">
        <v>1563</v>
      </c>
      <c r="Y20" s="4" t="s">
        <v>1563</v>
      </c>
      <c r="Z20" s="4" t="s">
        <v>1563</v>
      </c>
      <c r="AA20" s="4" t="s">
        <v>1563</v>
      </c>
      <c r="AB20" s="4" t="s">
        <v>1563</v>
      </c>
      <c r="AC20" s="4" t="s">
        <v>1563</v>
      </c>
      <c r="AD20" s="4" t="s">
        <v>1563</v>
      </c>
      <c r="AE20" s="4" t="s">
        <v>1563</v>
      </c>
      <c r="AF20" s="4" t="s">
        <v>1563</v>
      </c>
      <c r="AG20" s="4" t="s">
        <v>1563</v>
      </c>
      <c r="AH20" s="4" t="s">
        <v>1563</v>
      </c>
      <c r="AI20" s="4" t="s">
        <v>1563</v>
      </c>
      <c r="AJ20" s="4" t="s">
        <v>1563</v>
      </c>
    </row>
    <row r="21" spans="1:36" x14ac:dyDescent="0.2">
      <c r="T21" s="6">
        <f>(T16/T18)*100</f>
        <v>89.7</v>
      </c>
      <c r="U21" s="6">
        <f>(U16/U18)*100</f>
        <v>90.395348837209312</v>
      </c>
      <c r="V21" s="6">
        <f>(V16/V18)*100</f>
        <v>90.97014925373135</v>
      </c>
      <c r="W21" s="6">
        <f>(W16/W18)*100</f>
        <v>91.811702127659572</v>
      </c>
      <c r="X21" s="6">
        <f t="shared" ref="X21:AJ21" si="19">(X16/X18)*100</f>
        <v>91.041463414634137</v>
      </c>
      <c r="Y21" s="6">
        <f t="shared" si="19"/>
        <v>91.310389610389592</v>
      </c>
      <c r="Z21" s="6">
        <f t="shared" si="19"/>
        <v>91.650264550264538</v>
      </c>
      <c r="AA21" s="6">
        <f t="shared" si="19"/>
        <v>92.308771929824545</v>
      </c>
      <c r="AB21" s="6">
        <f t="shared" si="19"/>
        <v>92.690774907749088</v>
      </c>
      <c r="AC21" s="6">
        <f t="shared" si="19"/>
        <v>93.018611987381703</v>
      </c>
      <c r="AD21" s="6">
        <f t="shared" si="19"/>
        <v>92.895081967213116</v>
      </c>
      <c r="AE21" s="6">
        <f t="shared" si="19"/>
        <v>92.471599045346068</v>
      </c>
      <c r="AF21" s="6">
        <f t="shared" si="19"/>
        <v>92.148734177215204</v>
      </c>
      <c r="AG21" s="6">
        <f t="shared" si="19"/>
        <v>91.482551594746724</v>
      </c>
      <c r="AH21" s="6">
        <f t="shared" si="19"/>
        <v>90.632718120805364</v>
      </c>
      <c r="AI21" s="6">
        <f t="shared" si="19"/>
        <v>90.047885196374622</v>
      </c>
      <c r="AJ21" s="6">
        <f t="shared" si="19"/>
        <v>88.525342465753425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R43"/>
  <sheetViews>
    <sheetView workbookViewId="0">
      <selection activeCell="K29" sqref="K29:R29"/>
    </sheetView>
  </sheetViews>
  <sheetFormatPr baseColWidth="10" defaultRowHeight="15" x14ac:dyDescent="0.2"/>
  <sheetData>
    <row r="1" spans="1:18" x14ac:dyDescent="0.2">
      <c r="A1" s="3" t="s">
        <v>15</v>
      </c>
      <c r="B1" s="3">
        <v>1996</v>
      </c>
      <c r="C1" s="3">
        <v>2000</v>
      </c>
      <c r="D1" s="3">
        <v>2004</v>
      </c>
      <c r="E1" s="3">
        <v>2008</v>
      </c>
      <c r="F1" s="3">
        <v>2012</v>
      </c>
      <c r="G1" s="3">
        <v>2016</v>
      </c>
      <c r="H1" s="3">
        <v>2020</v>
      </c>
      <c r="I1" s="3">
        <v>2024</v>
      </c>
      <c r="K1" s="3">
        <v>1996</v>
      </c>
      <c r="L1" s="3">
        <v>2000</v>
      </c>
      <c r="M1" s="3">
        <v>2004</v>
      </c>
      <c r="N1" s="3">
        <v>2008</v>
      </c>
      <c r="O1" s="3">
        <v>2012</v>
      </c>
      <c r="P1" s="3">
        <v>2016</v>
      </c>
      <c r="Q1" s="3">
        <v>2020</v>
      </c>
      <c r="R1" s="3">
        <v>2024</v>
      </c>
    </row>
    <row r="2" spans="1:18" x14ac:dyDescent="0.2">
      <c r="A2" s="1" t="s">
        <v>20</v>
      </c>
      <c r="D2" s="1">
        <v>36.6</v>
      </c>
      <c r="E2" s="1">
        <v>33.1</v>
      </c>
      <c r="F2" s="1">
        <v>58.6</v>
      </c>
      <c r="G2" s="1">
        <v>45.5</v>
      </c>
      <c r="H2" s="1">
        <v>28.9</v>
      </c>
      <c r="I2" s="1">
        <v>22</v>
      </c>
      <c r="M2" s="1">
        <f>(D2*0.4)+D2</f>
        <v>51.24</v>
      </c>
      <c r="N2" s="1">
        <f>(E2*0.6)+E2</f>
        <v>52.96</v>
      </c>
      <c r="O2" s="1">
        <f>(F2*0.8)+F2</f>
        <v>105.48</v>
      </c>
      <c r="P2" s="1">
        <f>(G2*1)+G2</f>
        <v>91</v>
      </c>
      <c r="Q2" s="1">
        <f>(H2*1.2)+H2</f>
        <v>63.58</v>
      </c>
      <c r="R2" s="1">
        <f>(I2*1.4)+I2</f>
        <v>52.8</v>
      </c>
    </row>
    <row r="3" spans="1:18" x14ac:dyDescent="0.2">
      <c r="A3" s="1" t="s">
        <v>562</v>
      </c>
      <c r="B3" s="1">
        <v>21.5</v>
      </c>
      <c r="C3" s="1">
        <v>36.6</v>
      </c>
      <c r="D3" s="1"/>
      <c r="E3" s="1"/>
      <c r="F3" s="1"/>
      <c r="G3" s="1"/>
      <c r="H3" s="1"/>
      <c r="I3" s="1"/>
      <c r="K3" s="1">
        <v>21.5</v>
      </c>
      <c r="L3" s="1">
        <f>(C3*0.2)+C3</f>
        <v>43.92</v>
      </c>
      <c r="M3" s="1"/>
      <c r="N3" s="1"/>
      <c r="O3" s="1"/>
      <c r="P3" s="1"/>
    </row>
    <row r="4" spans="1:18" x14ac:dyDescent="0.2">
      <c r="A4" s="1" t="s">
        <v>178</v>
      </c>
      <c r="E4" s="1">
        <v>32.4</v>
      </c>
      <c r="F4" s="1">
        <v>16.5</v>
      </c>
      <c r="G4" s="1"/>
      <c r="H4" s="1"/>
      <c r="I4" s="1"/>
      <c r="N4" s="1">
        <v>32.4</v>
      </c>
      <c r="O4" s="1">
        <f>(F4*0.2)+F4</f>
        <v>19.8</v>
      </c>
      <c r="P4" s="1"/>
    </row>
    <row r="5" spans="1:18" x14ac:dyDescent="0.2">
      <c r="A5" s="1" t="s">
        <v>357</v>
      </c>
      <c r="B5" s="1">
        <v>12.9</v>
      </c>
      <c r="C5" s="1">
        <v>7</v>
      </c>
      <c r="D5" s="1">
        <v>31.3</v>
      </c>
      <c r="E5" s="1"/>
      <c r="F5" s="1"/>
      <c r="G5" s="1"/>
      <c r="H5" s="1"/>
      <c r="I5" s="1"/>
      <c r="K5" s="1">
        <v>12.9</v>
      </c>
      <c r="L5" s="1">
        <f>(C5*0.2)+C5</f>
        <v>8.4</v>
      </c>
      <c r="M5" s="1">
        <f>(D5*0.4)+D5</f>
        <v>43.82</v>
      </c>
      <c r="N5" s="1"/>
      <c r="O5" s="1"/>
      <c r="P5" s="1"/>
    </row>
    <row r="6" spans="1:18" x14ac:dyDescent="0.2">
      <c r="A6" s="1" t="s">
        <v>179</v>
      </c>
      <c r="C6" s="3">
        <v>6.9</v>
      </c>
      <c r="D6" s="1"/>
      <c r="E6" s="3">
        <v>18.600000000000001</v>
      </c>
      <c r="F6" s="1"/>
      <c r="G6" s="3">
        <v>20</v>
      </c>
      <c r="H6" s="1">
        <v>25.2</v>
      </c>
      <c r="I6" s="1">
        <v>13.2</v>
      </c>
      <c r="L6" s="1">
        <f t="shared" ref="L6:L20" si="0">(C6*0.2)+C6</f>
        <v>8.2800000000000011</v>
      </c>
      <c r="M6" s="1"/>
      <c r="N6" s="1">
        <f t="shared" ref="N6:N20" si="1">(E6*0.6)+E6</f>
        <v>29.76</v>
      </c>
      <c r="O6" s="1"/>
      <c r="P6" s="1">
        <f>(G6*1)+G6</f>
        <v>40</v>
      </c>
      <c r="Q6" s="1">
        <f>(H6*1.2)+H6</f>
        <v>55.44</v>
      </c>
      <c r="R6" s="1">
        <f>(I6*1.4)+I6</f>
        <v>31.679999999999996</v>
      </c>
    </row>
    <row r="7" spans="1:18" x14ac:dyDescent="0.2">
      <c r="A7" s="1" t="s">
        <v>564</v>
      </c>
      <c r="B7" s="1"/>
      <c r="C7" s="3"/>
      <c r="D7" s="1"/>
      <c r="E7" s="1"/>
      <c r="F7" s="1">
        <v>14</v>
      </c>
      <c r="G7" s="1"/>
      <c r="H7" s="1"/>
      <c r="I7" s="1"/>
      <c r="K7" s="1"/>
      <c r="L7" s="1"/>
      <c r="M7" s="1"/>
      <c r="N7" s="1"/>
      <c r="O7" s="1">
        <v>14</v>
      </c>
      <c r="P7" s="1"/>
    </row>
    <row r="8" spans="1:18" x14ac:dyDescent="0.2">
      <c r="A8" s="1" t="s">
        <v>565</v>
      </c>
      <c r="B8" s="1">
        <v>4.4000000000000004</v>
      </c>
      <c r="C8" s="1">
        <v>1.4</v>
      </c>
      <c r="D8" s="1">
        <v>0.5</v>
      </c>
      <c r="E8" s="1"/>
      <c r="F8" s="1"/>
      <c r="G8" s="1"/>
      <c r="H8" s="1"/>
      <c r="I8" s="1"/>
      <c r="K8" s="1">
        <v>4.4000000000000004</v>
      </c>
      <c r="L8" s="1">
        <f t="shared" si="0"/>
        <v>1.68</v>
      </c>
      <c r="M8" s="1">
        <f t="shared" ref="M8:M9" si="2">(D8*0.4)+D8</f>
        <v>0.7</v>
      </c>
      <c r="N8" s="1"/>
      <c r="O8" s="1"/>
      <c r="P8" s="1"/>
    </row>
    <row r="9" spans="1:18" x14ac:dyDescent="0.2">
      <c r="A9" s="1" t="s">
        <v>566</v>
      </c>
      <c r="B9" s="1">
        <v>30.2</v>
      </c>
      <c r="C9" s="3">
        <v>5</v>
      </c>
      <c r="D9" s="1">
        <v>1.9</v>
      </c>
      <c r="E9" s="1"/>
      <c r="F9" s="1"/>
      <c r="G9" s="1"/>
      <c r="H9" s="1"/>
      <c r="I9" s="1"/>
      <c r="K9" s="1">
        <v>30.2</v>
      </c>
      <c r="L9" s="1">
        <f t="shared" si="0"/>
        <v>6</v>
      </c>
      <c r="M9" s="1">
        <f t="shared" si="2"/>
        <v>2.66</v>
      </c>
      <c r="N9" s="1"/>
      <c r="O9" s="1"/>
      <c r="P9" s="1"/>
    </row>
    <row r="10" spans="1:18" x14ac:dyDescent="0.2">
      <c r="A10" s="1" t="s">
        <v>563</v>
      </c>
      <c r="B10" s="1"/>
      <c r="C10" s="1">
        <v>4.0999999999999996</v>
      </c>
      <c r="D10" s="1"/>
      <c r="E10" s="1"/>
      <c r="F10" s="1"/>
      <c r="G10" s="1"/>
      <c r="H10" s="1"/>
      <c r="I10" s="1"/>
      <c r="K10" s="1"/>
      <c r="L10" s="1">
        <v>4.0999999999999996</v>
      </c>
      <c r="M10" s="1"/>
      <c r="N10" s="1"/>
      <c r="O10" s="1"/>
      <c r="P10" s="1"/>
    </row>
    <row r="11" spans="1:18" x14ac:dyDescent="0.2">
      <c r="A11" s="1" t="s">
        <v>180</v>
      </c>
      <c r="B11" s="1">
        <v>6.6</v>
      </c>
      <c r="C11" s="1">
        <v>6.8</v>
      </c>
      <c r="D11" s="1">
        <v>6.2</v>
      </c>
      <c r="E11" s="1">
        <v>6.2</v>
      </c>
      <c r="F11" s="1">
        <v>5.0999999999999996</v>
      </c>
      <c r="G11" s="1">
        <v>6.2</v>
      </c>
      <c r="H11" s="1">
        <v>5.7</v>
      </c>
      <c r="I11" s="1">
        <v>6.3</v>
      </c>
      <c r="K11" s="1">
        <v>6.6</v>
      </c>
      <c r="L11" s="1">
        <f t="shared" si="0"/>
        <v>8.16</v>
      </c>
      <c r="M11" s="1">
        <f t="shared" ref="M11:M20" si="3">(D11*0.4)+D11</f>
        <v>8.68</v>
      </c>
      <c r="N11" s="1">
        <f t="shared" si="1"/>
        <v>9.92</v>
      </c>
      <c r="O11" s="1">
        <f t="shared" ref="O11:O20" si="4">(F11*0.8)+F11</f>
        <v>9.18</v>
      </c>
      <c r="P11" s="1">
        <f>(G11*1)+G11</f>
        <v>12.4</v>
      </c>
      <c r="Q11" s="1">
        <f>(H11*1.2)+H11</f>
        <v>12.54</v>
      </c>
      <c r="R11" s="1">
        <f>(I11*1.4)+I11</f>
        <v>15.119999999999997</v>
      </c>
    </row>
    <row r="12" spans="1:18" x14ac:dyDescent="0.2">
      <c r="A12" s="1" t="s">
        <v>1326</v>
      </c>
      <c r="B12" s="1"/>
      <c r="C12" s="1"/>
      <c r="D12" s="1"/>
      <c r="E12" s="1"/>
      <c r="F12" s="1"/>
      <c r="G12" s="1">
        <v>5.6</v>
      </c>
      <c r="H12" s="1"/>
      <c r="I12" s="1"/>
      <c r="K12" s="1"/>
      <c r="L12" s="1"/>
      <c r="M12" s="1"/>
      <c r="N12" s="1"/>
      <c r="O12" s="1"/>
      <c r="P12" s="1">
        <v>5.6</v>
      </c>
      <c r="Q12" s="1"/>
    </row>
    <row r="13" spans="1:18" x14ac:dyDescent="0.2">
      <c r="A13" s="1" t="s">
        <v>1537</v>
      </c>
      <c r="B13" s="1"/>
      <c r="C13" s="1"/>
      <c r="D13" s="1"/>
      <c r="E13" s="1"/>
      <c r="F13" s="1"/>
      <c r="G13" s="1"/>
      <c r="H13" s="1"/>
      <c r="I13" s="1">
        <v>7.4</v>
      </c>
      <c r="K13" s="1"/>
      <c r="L13" s="1"/>
      <c r="M13" s="1"/>
      <c r="N13" s="1"/>
      <c r="O13" s="1"/>
      <c r="P13" s="1"/>
      <c r="Q13" s="1"/>
      <c r="R13" s="1">
        <v>7.4</v>
      </c>
    </row>
    <row r="14" spans="1:18" x14ac:dyDescent="0.2">
      <c r="A14" s="1" t="s">
        <v>1538</v>
      </c>
      <c r="B14" s="1"/>
      <c r="C14" s="1"/>
      <c r="D14" s="1"/>
      <c r="E14" s="1"/>
      <c r="F14" s="1"/>
      <c r="G14" s="1"/>
      <c r="H14" s="1"/>
      <c r="I14" s="1">
        <v>6.5</v>
      </c>
      <c r="K14" s="1"/>
      <c r="L14" s="1"/>
      <c r="M14" s="1"/>
      <c r="N14" s="1"/>
      <c r="O14" s="1"/>
      <c r="P14" s="1"/>
      <c r="Q14" s="1"/>
      <c r="R14" s="1">
        <v>6.5</v>
      </c>
    </row>
    <row r="15" spans="1:18" x14ac:dyDescent="0.2">
      <c r="A15" s="1" t="s">
        <v>1539</v>
      </c>
      <c r="B15" s="1"/>
      <c r="C15" s="1"/>
      <c r="D15" s="1"/>
      <c r="E15" s="1"/>
      <c r="F15" s="1"/>
      <c r="G15" s="1"/>
      <c r="H15" s="1"/>
      <c r="I15" s="1">
        <v>3</v>
      </c>
      <c r="K15" s="1"/>
      <c r="L15" s="1"/>
      <c r="M15" s="1"/>
      <c r="N15" s="1"/>
      <c r="O15" s="1"/>
      <c r="P15" s="1"/>
      <c r="Q15" s="1"/>
      <c r="R15" s="1">
        <v>3</v>
      </c>
    </row>
    <row r="16" spans="1:18" x14ac:dyDescent="0.2">
      <c r="A16" s="1" t="s">
        <v>1327</v>
      </c>
      <c r="B16" s="1"/>
      <c r="C16" s="1"/>
      <c r="D16" s="1"/>
      <c r="E16" s="1"/>
      <c r="F16" s="1"/>
      <c r="G16" s="1">
        <v>5.4</v>
      </c>
      <c r="H16" s="1">
        <v>4.8</v>
      </c>
      <c r="I16" s="1"/>
      <c r="K16" s="1"/>
      <c r="L16" s="1"/>
      <c r="M16" s="1"/>
      <c r="N16" s="1"/>
      <c r="O16" s="1"/>
      <c r="P16" s="1">
        <v>5.4</v>
      </c>
      <c r="Q16" s="1">
        <f>(H16*0.2)+H16</f>
        <v>5.76</v>
      </c>
    </row>
    <row r="17" spans="1:18" x14ac:dyDescent="0.2">
      <c r="A17" s="1" t="s">
        <v>1438</v>
      </c>
      <c r="B17" s="1"/>
      <c r="C17" s="1"/>
      <c r="D17" s="1"/>
      <c r="E17" s="1"/>
      <c r="F17" s="1"/>
      <c r="G17" s="1"/>
      <c r="H17" s="1">
        <v>9.1</v>
      </c>
      <c r="I17" s="1">
        <v>18</v>
      </c>
      <c r="K17" s="1"/>
      <c r="L17" s="1"/>
      <c r="M17" s="1"/>
      <c r="N17" s="1"/>
      <c r="O17" s="1"/>
      <c r="P17" s="1"/>
      <c r="Q17" s="1">
        <v>9.1</v>
      </c>
      <c r="R17" s="1">
        <f>(I17*0.2)+I17</f>
        <v>21.6</v>
      </c>
    </row>
    <row r="18" spans="1:18" x14ac:dyDescent="0.2">
      <c r="A18" s="1" t="s">
        <v>1439</v>
      </c>
      <c r="B18" s="1"/>
      <c r="C18" s="1"/>
      <c r="D18" s="1"/>
      <c r="E18" s="1"/>
      <c r="F18" s="1"/>
      <c r="G18" s="1"/>
      <c r="H18" s="1">
        <v>4.0999999999999996</v>
      </c>
      <c r="I18" s="1"/>
      <c r="K18" s="1"/>
      <c r="L18" s="1"/>
      <c r="M18" s="1"/>
      <c r="N18" s="1"/>
      <c r="O18" s="1"/>
      <c r="P18" s="1"/>
      <c r="Q18" s="1">
        <v>4.0999999999999996</v>
      </c>
      <c r="R18" s="1"/>
    </row>
    <row r="19" spans="1:18" x14ac:dyDescent="0.2">
      <c r="A19" s="1" t="s">
        <v>1325</v>
      </c>
      <c r="B19" s="1"/>
      <c r="C19" s="1"/>
      <c r="D19" s="1"/>
      <c r="E19" s="1"/>
      <c r="F19" s="1"/>
      <c r="G19" s="1">
        <v>8.9</v>
      </c>
      <c r="H19" s="1">
        <v>15.4</v>
      </c>
      <c r="I19" s="1">
        <v>12.4</v>
      </c>
      <c r="K19" s="1"/>
      <c r="L19" s="1"/>
      <c r="M19" s="1"/>
      <c r="N19" s="1"/>
      <c r="O19" s="1"/>
      <c r="P19" s="1">
        <v>8.9</v>
      </c>
      <c r="Q19" s="1">
        <f>(H19*0.2)+H19</f>
        <v>18.48</v>
      </c>
      <c r="R19" s="1">
        <f>(I19*0.4)+I19</f>
        <v>17.36</v>
      </c>
    </row>
    <row r="20" spans="1:18" x14ac:dyDescent="0.2">
      <c r="A20" s="1" t="s">
        <v>181</v>
      </c>
      <c r="B20" s="1">
        <v>4.5</v>
      </c>
      <c r="C20" s="1">
        <v>19.5</v>
      </c>
      <c r="D20" s="1">
        <v>12.9</v>
      </c>
      <c r="E20" s="1">
        <v>3.2</v>
      </c>
      <c r="F20" s="1">
        <v>1.3</v>
      </c>
      <c r="G20" s="1">
        <v>1</v>
      </c>
      <c r="H20" s="1">
        <v>0.6</v>
      </c>
      <c r="I20" s="1"/>
      <c r="K20" s="1">
        <v>4.5</v>
      </c>
      <c r="L20" s="1">
        <f t="shared" si="0"/>
        <v>23.4</v>
      </c>
      <c r="M20" s="1">
        <f t="shared" si="3"/>
        <v>18.060000000000002</v>
      </c>
      <c r="N20" s="1">
        <f t="shared" si="1"/>
        <v>5.12</v>
      </c>
      <c r="O20" s="1">
        <f t="shared" si="4"/>
        <v>2.34</v>
      </c>
      <c r="P20" s="1">
        <f>(G20*1)+G20</f>
        <v>2</v>
      </c>
      <c r="Q20" s="1">
        <f>(H20*1.2)+H20</f>
        <v>1.3199999999999998</v>
      </c>
    </row>
    <row r="21" spans="1:18" x14ac:dyDescent="0.2">
      <c r="A21" s="1"/>
      <c r="B21" s="1"/>
      <c r="C21" s="1"/>
      <c r="D21" s="1"/>
      <c r="E21" s="1"/>
      <c r="F21" s="1"/>
      <c r="G21" s="1"/>
      <c r="J21" s="3" t="s">
        <v>14</v>
      </c>
      <c r="K21" s="1">
        <f>SUM(K3:K20)</f>
        <v>80.099999999999994</v>
      </c>
      <c r="L21" s="1">
        <f>SUM(L3:L20)</f>
        <v>103.94</v>
      </c>
      <c r="M21" s="1">
        <f t="shared" ref="M21:R21" si="5">SUM(M2:M20)</f>
        <v>125.16</v>
      </c>
      <c r="N21" s="1">
        <f t="shared" si="5"/>
        <v>130.16</v>
      </c>
      <c r="O21" s="1">
        <f t="shared" si="5"/>
        <v>150.80000000000001</v>
      </c>
      <c r="P21" s="1">
        <f t="shared" si="5"/>
        <v>165.3</v>
      </c>
      <c r="Q21" s="1">
        <f t="shared" si="5"/>
        <v>170.31999999999996</v>
      </c>
      <c r="R21" s="1">
        <f t="shared" si="5"/>
        <v>155.45999999999998</v>
      </c>
    </row>
    <row r="22" spans="1:18" x14ac:dyDescent="0.2">
      <c r="A22" s="1"/>
      <c r="B22" s="1"/>
      <c r="C22" s="1"/>
      <c r="D22" s="1"/>
      <c r="E22" s="1"/>
      <c r="F22" s="1"/>
      <c r="G22" s="1"/>
    </row>
    <row r="23" spans="1:18" x14ac:dyDescent="0.2">
      <c r="A23" s="1"/>
      <c r="B23" s="1"/>
      <c r="C23" s="1"/>
      <c r="D23" s="1"/>
      <c r="E23" s="1"/>
      <c r="F23" s="1"/>
      <c r="G23" s="1"/>
      <c r="K23" s="1">
        <v>100</v>
      </c>
      <c r="L23" s="1">
        <v>120</v>
      </c>
      <c r="M23" s="1">
        <v>140</v>
      </c>
      <c r="N23" s="1">
        <v>160</v>
      </c>
      <c r="O23" s="1">
        <v>180</v>
      </c>
      <c r="P23" s="1">
        <v>200</v>
      </c>
      <c r="Q23" s="1">
        <v>220</v>
      </c>
      <c r="R23" s="1">
        <v>240</v>
      </c>
    </row>
    <row r="24" spans="1:18" x14ac:dyDescent="0.2">
      <c r="A24" s="1"/>
      <c r="B24" s="1"/>
      <c r="C24" s="1"/>
      <c r="D24" s="1"/>
      <c r="E24" s="1"/>
      <c r="F24" s="1"/>
      <c r="G24" s="1"/>
    </row>
    <row r="25" spans="1:18" x14ac:dyDescent="0.2">
      <c r="A25" s="1"/>
      <c r="B25" s="1"/>
      <c r="C25" s="1"/>
      <c r="D25" s="1"/>
      <c r="E25" s="1"/>
      <c r="F25" s="1"/>
      <c r="G25" s="1"/>
      <c r="K25" s="1">
        <f>K21</f>
        <v>80.099999999999994</v>
      </c>
      <c r="L25" s="1">
        <f t="shared" ref="L25:R25" si="6">SUM(K25+L21)</f>
        <v>184.04</v>
      </c>
      <c r="M25" s="1">
        <f t="shared" si="6"/>
        <v>309.2</v>
      </c>
      <c r="N25" s="1">
        <f t="shared" si="6"/>
        <v>439.36</v>
      </c>
      <c r="O25" s="1">
        <f t="shared" si="6"/>
        <v>590.16000000000008</v>
      </c>
      <c r="P25" s="1">
        <f t="shared" si="6"/>
        <v>755.46</v>
      </c>
      <c r="Q25" s="1">
        <f t="shared" si="6"/>
        <v>925.78</v>
      </c>
      <c r="R25" s="1">
        <f t="shared" si="6"/>
        <v>1081.24</v>
      </c>
    </row>
    <row r="26" spans="1:18" x14ac:dyDescent="0.2">
      <c r="A26" s="1"/>
      <c r="B26" s="1"/>
      <c r="C26" s="1"/>
      <c r="D26" s="1"/>
      <c r="E26" s="1"/>
      <c r="F26" s="1"/>
      <c r="G26" s="1"/>
      <c r="K26" s="3"/>
      <c r="L26" s="3"/>
      <c r="M26" s="3"/>
      <c r="N26" s="3"/>
    </row>
    <row r="27" spans="1:18" x14ac:dyDescent="0.2">
      <c r="A27" s="1"/>
      <c r="B27" s="1"/>
      <c r="C27" s="1"/>
      <c r="D27" s="1"/>
      <c r="E27" s="1"/>
      <c r="F27" s="1"/>
      <c r="G27" s="1"/>
      <c r="K27" s="1">
        <v>100</v>
      </c>
      <c r="L27" s="1">
        <f t="shared" ref="L27:R27" si="7">SUM(K27+L23)</f>
        <v>220</v>
      </c>
      <c r="M27" s="1">
        <f t="shared" si="7"/>
        <v>360</v>
      </c>
      <c r="N27" s="1">
        <f t="shared" si="7"/>
        <v>520</v>
      </c>
      <c r="O27" s="1">
        <f t="shared" si="7"/>
        <v>700</v>
      </c>
      <c r="P27" s="1">
        <f t="shared" si="7"/>
        <v>900</v>
      </c>
      <c r="Q27" s="1">
        <f t="shared" si="7"/>
        <v>1120</v>
      </c>
      <c r="R27" s="1">
        <f t="shared" si="7"/>
        <v>1360</v>
      </c>
    </row>
    <row r="28" spans="1:18" x14ac:dyDescent="0.2">
      <c r="A28" s="1"/>
      <c r="B28" s="1"/>
      <c r="C28" s="1"/>
      <c r="D28" s="1"/>
      <c r="E28" s="1"/>
      <c r="F28" s="1"/>
      <c r="G28" s="1"/>
    </row>
    <row r="29" spans="1:18" x14ac:dyDescent="0.2">
      <c r="K29" s="4" t="s">
        <v>1563</v>
      </c>
      <c r="L29" s="4" t="s">
        <v>1563</v>
      </c>
      <c r="M29" s="4" t="s">
        <v>1563</v>
      </c>
      <c r="N29" s="4" t="s">
        <v>1563</v>
      </c>
      <c r="O29" s="4" t="s">
        <v>1563</v>
      </c>
      <c r="P29" s="4" t="s">
        <v>1563</v>
      </c>
      <c r="Q29" s="4" t="s">
        <v>1563</v>
      </c>
      <c r="R29" s="4" t="s">
        <v>1563</v>
      </c>
    </row>
    <row r="30" spans="1:18" x14ac:dyDescent="0.2">
      <c r="K30" s="6">
        <f t="shared" ref="K30:R30" si="8">(K25/K27)*100</f>
        <v>80.099999999999994</v>
      </c>
      <c r="L30" s="6">
        <f t="shared" si="8"/>
        <v>83.654545454545442</v>
      </c>
      <c r="M30" s="6">
        <f t="shared" si="8"/>
        <v>85.888888888888886</v>
      </c>
      <c r="N30" s="6">
        <f t="shared" si="8"/>
        <v>84.492307692307705</v>
      </c>
      <c r="O30" s="6">
        <f t="shared" si="8"/>
        <v>84.30857142857144</v>
      </c>
      <c r="P30" s="6">
        <f t="shared" si="8"/>
        <v>83.94</v>
      </c>
      <c r="Q30" s="38">
        <f t="shared" si="8"/>
        <v>82.658928571428575</v>
      </c>
      <c r="R30" s="38">
        <f t="shared" si="8"/>
        <v>79.502941176470586</v>
      </c>
    </row>
    <row r="32" spans="1:18" ht="16" x14ac:dyDescent="0.2">
      <c r="A32" s="15"/>
      <c r="B32" s="16"/>
      <c r="C32" s="16"/>
    </row>
    <row r="33" spans="1:3" ht="16" x14ac:dyDescent="0.2">
      <c r="A33" s="15"/>
      <c r="B33" s="16"/>
      <c r="C33" s="16"/>
    </row>
    <row r="34" spans="1:3" ht="16" x14ac:dyDescent="0.2">
      <c r="A34" s="15"/>
      <c r="B34" s="16"/>
      <c r="C34" s="16"/>
    </row>
    <row r="35" spans="1:3" ht="16" x14ac:dyDescent="0.2">
      <c r="A35" s="15"/>
      <c r="B35" s="16"/>
      <c r="C35" s="16"/>
    </row>
    <row r="36" spans="1:3" ht="16" x14ac:dyDescent="0.2">
      <c r="A36" s="15"/>
      <c r="B36" s="16"/>
      <c r="C36" s="16"/>
    </row>
    <row r="37" spans="1:3" ht="16" x14ac:dyDescent="0.2">
      <c r="A37" s="15"/>
      <c r="B37" s="16"/>
      <c r="C37" s="16"/>
    </row>
    <row r="38" spans="1:3" ht="16" x14ac:dyDescent="0.2">
      <c r="A38" s="15"/>
      <c r="B38" s="16"/>
      <c r="C38" s="16"/>
    </row>
    <row r="39" spans="1:3" ht="16" x14ac:dyDescent="0.2">
      <c r="A39" s="15"/>
      <c r="B39" s="16"/>
      <c r="C39" s="16"/>
    </row>
    <row r="40" spans="1:3" ht="16" x14ac:dyDescent="0.2">
      <c r="A40" s="15"/>
      <c r="B40" s="16"/>
      <c r="C40" s="16"/>
    </row>
    <row r="41" spans="1:3" ht="16" x14ac:dyDescent="0.2">
      <c r="A41" s="15"/>
      <c r="B41" s="16"/>
      <c r="C41" s="16"/>
    </row>
    <row r="42" spans="1:3" ht="16" x14ac:dyDescent="0.2">
      <c r="A42" s="15"/>
      <c r="B42" s="16"/>
      <c r="C42" s="16"/>
    </row>
    <row r="43" spans="1:3" ht="16" x14ac:dyDescent="0.2">
      <c r="A43" s="15"/>
      <c r="B43" s="16"/>
      <c r="C43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30"/>
  <sheetViews>
    <sheetView workbookViewId="0">
      <selection activeCell="G20" sqref="G20:H20"/>
    </sheetView>
  </sheetViews>
  <sheetFormatPr baseColWidth="10" defaultRowHeight="15" x14ac:dyDescent="0.2"/>
  <cols>
    <col min="2" max="2" width="31.5" customWidth="1"/>
  </cols>
  <sheetData>
    <row r="1" spans="1:10" ht="16" x14ac:dyDescent="0.2">
      <c r="A1" s="3" t="s">
        <v>15</v>
      </c>
      <c r="B1" s="24" t="s">
        <v>681</v>
      </c>
      <c r="C1" s="3">
        <v>1999</v>
      </c>
      <c r="D1" s="3">
        <v>2003</v>
      </c>
      <c r="G1" s="3">
        <v>1999</v>
      </c>
      <c r="H1" s="3">
        <v>2003</v>
      </c>
    </row>
    <row r="2" spans="1:10" ht="16" x14ac:dyDescent="0.2">
      <c r="A2" s="8" t="s">
        <v>206</v>
      </c>
      <c r="B2" s="16" t="s">
        <v>862</v>
      </c>
      <c r="C2" s="1">
        <v>23.3</v>
      </c>
      <c r="D2" s="1">
        <v>1.2</v>
      </c>
      <c r="G2" s="1">
        <v>23.3</v>
      </c>
      <c r="H2" s="1">
        <f>(D2*0.2)+D2</f>
        <v>1.44</v>
      </c>
    </row>
    <row r="3" spans="1:10" ht="16" x14ac:dyDescent="0.2">
      <c r="A3" s="8" t="s">
        <v>205</v>
      </c>
      <c r="B3" s="16" t="s">
        <v>863</v>
      </c>
      <c r="C3" s="1">
        <v>24.3</v>
      </c>
      <c r="D3" s="1">
        <v>12.6</v>
      </c>
      <c r="G3" s="1">
        <v>24.3</v>
      </c>
      <c r="H3" s="1">
        <f t="shared" ref="H3:H11" si="0">(D3*0.2)+D3</f>
        <v>15.12</v>
      </c>
    </row>
    <row r="4" spans="1:10" ht="16" x14ac:dyDescent="0.2">
      <c r="A4" s="8" t="s">
        <v>199</v>
      </c>
      <c r="B4" s="16" t="s">
        <v>864</v>
      </c>
      <c r="C4" s="1">
        <v>8.5</v>
      </c>
      <c r="D4" s="1">
        <v>4</v>
      </c>
      <c r="G4" s="1">
        <v>8.5</v>
      </c>
      <c r="H4" s="1">
        <f t="shared" si="0"/>
        <v>4.8</v>
      </c>
    </row>
    <row r="5" spans="1:10" ht="16" x14ac:dyDescent="0.2">
      <c r="A5" s="8" t="s">
        <v>207</v>
      </c>
      <c r="B5" s="16" t="s">
        <v>865</v>
      </c>
      <c r="C5" s="1">
        <v>6</v>
      </c>
      <c r="D5" s="1">
        <v>11.5</v>
      </c>
      <c r="G5" s="1">
        <v>6</v>
      </c>
      <c r="H5" s="1">
        <f t="shared" si="0"/>
        <v>13.8</v>
      </c>
    </row>
    <row r="6" spans="1:10" ht="16" x14ac:dyDescent="0.2">
      <c r="A6" s="8" t="s">
        <v>572</v>
      </c>
      <c r="B6" s="16" t="s">
        <v>866</v>
      </c>
      <c r="C6" s="1">
        <v>13.3</v>
      </c>
      <c r="D6" s="1"/>
      <c r="G6" s="1">
        <v>13.3</v>
      </c>
      <c r="H6" s="1"/>
    </row>
    <row r="7" spans="1:10" ht="16" x14ac:dyDescent="0.2">
      <c r="A7" s="15" t="s">
        <v>569</v>
      </c>
      <c r="B7" s="16" t="s">
        <v>867</v>
      </c>
      <c r="C7" s="1"/>
      <c r="D7" s="3">
        <v>3.6</v>
      </c>
      <c r="G7" s="1"/>
      <c r="H7" s="1">
        <f t="shared" si="0"/>
        <v>4.32</v>
      </c>
    </row>
    <row r="8" spans="1:10" ht="16" x14ac:dyDescent="0.2">
      <c r="A8" s="15" t="s">
        <v>570</v>
      </c>
      <c r="B8" s="16" t="s">
        <v>868</v>
      </c>
      <c r="C8" s="1">
        <v>2</v>
      </c>
      <c r="D8" s="1">
        <v>3.1</v>
      </c>
      <c r="G8" s="1">
        <v>2</v>
      </c>
      <c r="H8" s="1">
        <f t="shared" si="0"/>
        <v>3.72</v>
      </c>
    </row>
    <row r="9" spans="1:10" ht="16" x14ac:dyDescent="0.2">
      <c r="A9" s="15" t="s">
        <v>567</v>
      </c>
      <c r="B9" s="16" t="s">
        <v>869</v>
      </c>
      <c r="C9" s="1"/>
      <c r="D9" s="1">
        <v>37.6</v>
      </c>
      <c r="G9" s="1"/>
      <c r="H9" s="1">
        <v>37.6</v>
      </c>
    </row>
    <row r="10" spans="1:10" ht="16" x14ac:dyDescent="0.2">
      <c r="A10" s="15" t="s">
        <v>571</v>
      </c>
      <c r="B10" s="16" t="s">
        <v>870</v>
      </c>
      <c r="C10" s="1"/>
      <c r="D10" s="1">
        <v>9</v>
      </c>
      <c r="G10" s="1"/>
      <c r="H10" s="1">
        <v>9</v>
      </c>
    </row>
    <row r="11" spans="1:10" ht="16" x14ac:dyDescent="0.2">
      <c r="A11" s="15" t="s">
        <v>568</v>
      </c>
      <c r="B11" s="16" t="s">
        <v>871</v>
      </c>
      <c r="C11" s="1">
        <v>5.9</v>
      </c>
      <c r="D11" s="1">
        <v>4.3</v>
      </c>
      <c r="G11" s="1">
        <v>5.9</v>
      </c>
      <c r="H11" s="1">
        <f t="shared" si="0"/>
        <v>5.16</v>
      </c>
      <c r="J11" s="4"/>
    </row>
    <row r="12" spans="1:10" x14ac:dyDescent="0.2">
      <c r="A12" s="1"/>
      <c r="B12" s="1"/>
      <c r="C12" s="1"/>
      <c r="D12" s="1"/>
      <c r="F12" s="3" t="s">
        <v>14</v>
      </c>
      <c r="G12" s="1">
        <f>SUM(G2:G11)</f>
        <v>83.300000000000011</v>
      </c>
      <c r="H12" s="1">
        <f>SUM(H2:H11)</f>
        <v>94.96</v>
      </c>
      <c r="I12" s="1"/>
      <c r="J12" s="5"/>
    </row>
    <row r="13" spans="1:10" x14ac:dyDescent="0.2">
      <c r="A13" s="1"/>
      <c r="B13" s="1"/>
      <c r="C13" s="1"/>
      <c r="D13" s="1"/>
      <c r="I13" s="1"/>
    </row>
    <row r="14" spans="1:10" x14ac:dyDescent="0.2">
      <c r="G14" s="1">
        <v>100</v>
      </c>
      <c r="H14" s="1">
        <v>120</v>
      </c>
      <c r="I14" s="1"/>
    </row>
    <row r="16" spans="1:10" x14ac:dyDescent="0.2">
      <c r="G16" s="1">
        <f>G12</f>
        <v>83.300000000000011</v>
      </c>
      <c r="H16" s="1">
        <f>SUM(G16+H12)</f>
        <v>178.26</v>
      </c>
    </row>
    <row r="17" spans="1:8" x14ac:dyDescent="0.2">
      <c r="G17" s="3"/>
      <c r="H17" s="3"/>
    </row>
    <row r="18" spans="1:8" x14ac:dyDescent="0.2">
      <c r="G18" s="1">
        <v>100</v>
      </c>
      <c r="H18" s="1">
        <f>SUM(G18+H14)</f>
        <v>220</v>
      </c>
    </row>
    <row r="20" spans="1:8" x14ac:dyDescent="0.2">
      <c r="G20" s="4" t="s">
        <v>1563</v>
      </c>
      <c r="H20" s="4" t="s">
        <v>1563</v>
      </c>
    </row>
    <row r="21" spans="1:8" ht="16" x14ac:dyDescent="0.2">
      <c r="A21" s="15"/>
      <c r="B21" s="15"/>
      <c r="C21" s="16"/>
      <c r="D21" s="16"/>
      <c r="G21" s="6">
        <f>(G16/G18)*100</f>
        <v>83.300000000000011</v>
      </c>
      <c r="H21" s="6">
        <f>(H16/H18)*100</f>
        <v>81.027272727272731</v>
      </c>
    </row>
    <row r="22" spans="1:8" ht="16" x14ac:dyDescent="0.2">
      <c r="A22" s="15"/>
      <c r="B22" s="15"/>
      <c r="C22" s="16"/>
      <c r="D22" s="16"/>
    </row>
    <row r="23" spans="1:8" ht="16" x14ac:dyDescent="0.2">
      <c r="A23" s="15"/>
      <c r="B23" s="15"/>
      <c r="C23" s="16"/>
      <c r="D23" s="16"/>
    </row>
    <row r="24" spans="1:8" ht="16" x14ac:dyDescent="0.2">
      <c r="A24" s="15"/>
      <c r="B24" s="15"/>
      <c r="C24" s="16"/>
      <c r="D24" s="16"/>
    </row>
    <row r="25" spans="1:8" ht="16" x14ac:dyDescent="0.2">
      <c r="A25" s="15"/>
      <c r="B25" s="15"/>
      <c r="C25" s="16"/>
      <c r="D25" s="16"/>
    </row>
    <row r="26" spans="1:8" ht="16" x14ac:dyDescent="0.2">
      <c r="A26" s="15"/>
      <c r="B26" s="15"/>
      <c r="C26" s="16"/>
      <c r="D26" s="16"/>
    </row>
    <row r="27" spans="1:8" ht="16" x14ac:dyDescent="0.2">
      <c r="A27" s="15"/>
      <c r="B27" s="15"/>
      <c r="C27" s="16"/>
      <c r="D27" s="16"/>
    </row>
    <row r="28" spans="1:8" ht="16" x14ac:dyDescent="0.2">
      <c r="A28" s="15"/>
      <c r="B28" s="15"/>
      <c r="C28" s="16"/>
      <c r="D28" s="16"/>
    </row>
    <row r="29" spans="1:8" ht="16" x14ac:dyDescent="0.2">
      <c r="A29" s="15"/>
      <c r="B29" s="15"/>
      <c r="C29" s="16"/>
      <c r="D29" s="16"/>
    </row>
    <row r="30" spans="1:8" ht="16" x14ac:dyDescent="0.2">
      <c r="A30" s="15"/>
      <c r="B30" s="15"/>
      <c r="C30" s="16"/>
      <c r="D30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18"/>
  <sheetViews>
    <sheetView workbookViewId="0">
      <selection activeCell="G14" sqref="G14:H14"/>
    </sheetView>
  </sheetViews>
  <sheetFormatPr baseColWidth="10" defaultRowHeight="15" x14ac:dyDescent="0.2"/>
  <cols>
    <col min="2" max="2" width="26.1640625" customWidth="1"/>
  </cols>
  <sheetData>
    <row r="1" spans="1:10" ht="16" x14ac:dyDescent="0.2">
      <c r="A1" s="3" t="s">
        <v>15</v>
      </c>
      <c r="B1" s="24" t="s">
        <v>681</v>
      </c>
      <c r="C1" s="3">
        <v>1920</v>
      </c>
      <c r="D1" s="3">
        <v>1923</v>
      </c>
      <c r="G1" s="3">
        <v>1920</v>
      </c>
      <c r="H1" s="3">
        <v>1923</v>
      </c>
    </row>
    <row r="2" spans="1:10" x14ac:dyDescent="0.2">
      <c r="A2" s="8" t="s">
        <v>348</v>
      </c>
      <c r="B2" s="1" t="s">
        <v>859</v>
      </c>
      <c r="C2" s="1">
        <v>47.8</v>
      </c>
      <c r="D2" s="12">
        <v>33.299999999999997</v>
      </c>
      <c r="F2" s="12"/>
      <c r="G2" s="1">
        <v>47.8</v>
      </c>
      <c r="H2" s="1">
        <f>(D2*0.2)+D2</f>
        <v>39.959999999999994</v>
      </c>
    </row>
    <row r="3" spans="1:10" x14ac:dyDescent="0.2">
      <c r="A3" s="8" t="s">
        <v>349</v>
      </c>
      <c r="B3" s="1" t="s">
        <v>860</v>
      </c>
      <c r="C3" s="1">
        <v>22.7</v>
      </c>
      <c r="D3" s="12">
        <v>15</v>
      </c>
      <c r="F3" s="12"/>
      <c r="G3" s="1">
        <v>22.7</v>
      </c>
      <c r="H3" s="1">
        <f>(D3*0.2)+D3</f>
        <v>18</v>
      </c>
      <c r="J3" s="4"/>
    </row>
    <row r="4" spans="1:10" x14ac:dyDescent="0.2">
      <c r="A4" s="8" t="s">
        <v>857</v>
      </c>
      <c r="B4" s="1" t="s">
        <v>861</v>
      </c>
      <c r="C4" s="1"/>
      <c r="D4" s="12">
        <v>48.3</v>
      </c>
      <c r="F4" s="12"/>
      <c r="G4" s="1"/>
      <c r="H4" s="12">
        <v>48.3</v>
      </c>
      <c r="J4" s="4"/>
    </row>
    <row r="5" spans="1:10" x14ac:dyDescent="0.2">
      <c r="A5" s="8" t="s">
        <v>95</v>
      </c>
      <c r="B5" s="1" t="s">
        <v>858</v>
      </c>
      <c r="C5" s="1">
        <v>29.6</v>
      </c>
      <c r="D5" s="12"/>
      <c r="F5" s="12"/>
      <c r="G5" s="1">
        <v>29.6</v>
      </c>
      <c r="H5" s="1"/>
      <c r="J5" s="4"/>
    </row>
    <row r="6" spans="1:10" x14ac:dyDescent="0.2">
      <c r="F6" s="3" t="s">
        <v>14</v>
      </c>
      <c r="G6" s="1">
        <f>SUM(G2:G5)</f>
        <v>100.1</v>
      </c>
      <c r="H6" s="1">
        <f>SUM(H2:H5)</f>
        <v>106.25999999999999</v>
      </c>
      <c r="I6" s="1"/>
      <c r="J6" s="5"/>
    </row>
    <row r="7" spans="1:10" x14ac:dyDescent="0.2">
      <c r="F7" s="12"/>
    </row>
    <row r="8" spans="1:10" x14ac:dyDescent="0.2">
      <c r="G8" s="1">
        <v>100</v>
      </c>
      <c r="H8" s="1">
        <v>120</v>
      </c>
      <c r="I8" s="1"/>
    </row>
    <row r="10" spans="1:10" x14ac:dyDescent="0.2">
      <c r="G10" s="1">
        <f>G6</f>
        <v>100.1</v>
      </c>
      <c r="H10" s="1">
        <f>SUM(G10+H6)</f>
        <v>206.35999999999999</v>
      </c>
    </row>
    <row r="11" spans="1:10" x14ac:dyDescent="0.2">
      <c r="G11" s="3"/>
      <c r="H11" s="3"/>
    </row>
    <row r="12" spans="1:10" x14ac:dyDescent="0.2">
      <c r="G12" s="1">
        <v>100</v>
      </c>
      <c r="H12" s="1">
        <f>SUM(G12+H8)</f>
        <v>220</v>
      </c>
    </row>
    <row r="14" spans="1:10" x14ac:dyDescent="0.2">
      <c r="D14" s="1"/>
      <c r="G14" s="4" t="s">
        <v>1563</v>
      </c>
      <c r="H14" s="4" t="s">
        <v>1563</v>
      </c>
    </row>
    <row r="15" spans="1:10" ht="16" x14ac:dyDescent="0.2">
      <c r="A15" s="15"/>
      <c r="B15" s="15"/>
      <c r="C15" s="1"/>
      <c r="G15" s="6">
        <f>(G10/G12)*100</f>
        <v>100.1</v>
      </c>
      <c r="H15" s="6">
        <f>(H10/H12)*100</f>
        <v>93.8</v>
      </c>
    </row>
    <row r="16" spans="1:10" ht="16" x14ac:dyDescent="0.2">
      <c r="A16" s="15"/>
      <c r="B16" s="15"/>
      <c r="C16" s="1"/>
    </row>
    <row r="17" spans="1:3" ht="16" x14ac:dyDescent="0.2">
      <c r="A17" s="15"/>
      <c r="B17" s="15"/>
      <c r="C17" s="1"/>
    </row>
    <row r="18" spans="1:3" ht="16" x14ac:dyDescent="0.2">
      <c r="A18" s="15"/>
      <c r="B18" s="15"/>
      <c r="C18" s="1"/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32"/>
  <sheetViews>
    <sheetView topLeftCell="R1" workbookViewId="0">
      <selection activeCell="AB22" sqref="AB22:AY22"/>
    </sheetView>
  </sheetViews>
  <sheetFormatPr baseColWidth="10" defaultRowHeight="15" x14ac:dyDescent="0.2"/>
  <cols>
    <col min="2" max="2" width="31" customWidth="1"/>
  </cols>
  <sheetData>
    <row r="1" spans="1:51" ht="16" x14ac:dyDescent="0.2">
      <c r="A1" s="3" t="s">
        <v>15</v>
      </c>
      <c r="B1" s="24" t="s">
        <v>681</v>
      </c>
      <c r="C1" s="3">
        <v>1945</v>
      </c>
      <c r="D1" s="3">
        <v>1949</v>
      </c>
      <c r="E1" s="3">
        <v>1953</v>
      </c>
      <c r="F1" s="3">
        <v>1956</v>
      </c>
      <c r="G1" s="3">
        <v>1959</v>
      </c>
      <c r="H1" s="3">
        <v>1962</v>
      </c>
      <c r="I1" s="3">
        <v>1966</v>
      </c>
      <c r="J1" s="3">
        <v>1970</v>
      </c>
      <c r="K1" s="3">
        <v>1971</v>
      </c>
      <c r="L1" s="3">
        <v>1975</v>
      </c>
      <c r="M1" s="3">
        <v>1979</v>
      </c>
      <c r="N1" s="3">
        <v>1983</v>
      </c>
      <c r="O1" s="3">
        <v>1986</v>
      </c>
      <c r="P1" s="3">
        <v>1990</v>
      </c>
      <c r="Q1" s="3">
        <v>1994</v>
      </c>
      <c r="R1" s="3">
        <v>1995</v>
      </c>
      <c r="S1" s="3">
        <v>1999</v>
      </c>
      <c r="T1" s="3">
        <v>2002</v>
      </c>
      <c r="U1" s="3">
        <v>2006</v>
      </c>
      <c r="V1" s="3">
        <v>2008</v>
      </c>
      <c r="W1" s="3">
        <v>2013</v>
      </c>
      <c r="X1" s="3">
        <v>2017</v>
      </c>
      <c r="Y1" s="3">
        <v>2019</v>
      </c>
      <c r="Z1" s="3">
        <v>2024</v>
      </c>
      <c r="AB1" s="3">
        <v>1945</v>
      </c>
      <c r="AC1" s="3">
        <v>1949</v>
      </c>
      <c r="AD1" s="3">
        <v>1953</v>
      </c>
      <c r="AE1" s="3">
        <v>1956</v>
      </c>
      <c r="AF1" s="3">
        <v>1959</v>
      </c>
      <c r="AG1" s="3">
        <v>1962</v>
      </c>
      <c r="AH1" s="3">
        <v>1966</v>
      </c>
      <c r="AI1" s="3">
        <v>1970</v>
      </c>
      <c r="AJ1" s="3">
        <v>1971</v>
      </c>
      <c r="AK1" s="3">
        <v>1975</v>
      </c>
      <c r="AL1" s="3">
        <v>1979</v>
      </c>
      <c r="AM1" s="3">
        <v>1983</v>
      </c>
      <c r="AN1" s="3">
        <v>1986</v>
      </c>
      <c r="AO1" s="3">
        <v>1990</v>
      </c>
      <c r="AP1" s="3">
        <v>1994</v>
      </c>
      <c r="AQ1" s="3">
        <v>1995</v>
      </c>
      <c r="AR1" s="3">
        <v>1999</v>
      </c>
      <c r="AS1" s="3">
        <v>2002</v>
      </c>
      <c r="AT1" s="3">
        <v>2006</v>
      </c>
      <c r="AU1" s="3">
        <v>2008</v>
      </c>
      <c r="AV1" s="3">
        <v>2013</v>
      </c>
      <c r="AW1" s="3">
        <v>2017</v>
      </c>
      <c r="AX1" s="3">
        <v>2019</v>
      </c>
      <c r="AY1" s="3">
        <v>2024</v>
      </c>
    </row>
    <row r="2" spans="1:51" ht="16" x14ac:dyDescent="0.2">
      <c r="A2" s="8" t="s">
        <v>246</v>
      </c>
      <c r="B2" s="16" t="s">
        <v>686</v>
      </c>
      <c r="C2" s="1">
        <v>49.8</v>
      </c>
      <c r="D2" s="1">
        <v>44</v>
      </c>
      <c r="E2" s="1">
        <v>41.3</v>
      </c>
      <c r="F2" s="1">
        <v>46</v>
      </c>
      <c r="G2" s="1">
        <v>44.2</v>
      </c>
      <c r="H2" s="1">
        <v>45.4</v>
      </c>
      <c r="I2" s="1">
        <v>48.3</v>
      </c>
      <c r="J2" s="1">
        <v>44.7</v>
      </c>
      <c r="K2" s="1">
        <v>43.1</v>
      </c>
      <c r="L2" s="1">
        <v>42.9</v>
      </c>
      <c r="M2" s="1">
        <v>41.9</v>
      </c>
      <c r="N2" s="1">
        <v>43.2</v>
      </c>
      <c r="O2" s="1">
        <v>41.3</v>
      </c>
      <c r="P2" s="1">
        <v>32.1</v>
      </c>
      <c r="Q2" s="1">
        <v>27.7</v>
      </c>
      <c r="R2" s="1">
        <v>28.3</v>
      </c>
      <c r="S2" s="1">
        <v>26.9</v>
      </c>
      <c r="T2" s="1">
        <v>42.3</v>
      </c>
      <c r="U2" s="1">
        <v>34.299999999999997</v>
      </c>
      <c r="V2" s="1">
        <v>26</v>
      </c>
      <c r="W2" s="1">
        <v>24</v>
      </c>
      <c r="X2" s="1">
        <v>31.5</v>
      </c>
      <c r="Y2" s="1">
        <v>37.5</v>
      </c>
      <c r="Z2" s="1">
        <v>26.3</v>
      </c>
      <c r="AA2" s="16"/>
      <c r="AB2" s="1">
        <v>49.8</v>
      </c>
      <c r="AC2" s="1">
        <f>(D2*0.2)+D2</f>
        <v>52.8</v>
      </c>
      <c r="AD2" s="1">
        <f>(E2*0.4)+E2</f>
        <v>57.819999999999993</v>
      </c>
      <c r="AE2" s="1">
        <f>(F2*0.55)+F2</f>
        <v>71.3</v>
      </c>
      <c r="AF2" s="1">
        <f>(G2*0.7)+G2</f>
        <v>75.14</v>
      </c>
      <c r="AG2" s="1">
        <f>(H2*0.85)+H2</f>
        <v>83.99</v>
      </c>
      <c r="AH2" s="1">
        <f>(I2*1.05)+I2</f>
        <v>99.014999999999986</v>
      </c>
      <c r="AI2" s="1">
        <f>(J2*1.25)+J2</f>
        <v>100.575</v>
      </c>
      <c r="AJ2" s="1">
        <f>(K2*1.3)+K2</f>
        <v>99.13</v>
      </c>
      <c r="AK2" s="1">
        <f>(L2*1.5)+L2</f>
        <v>107.25</v>
      </c>
      <c r="AL2" s="1">
        <f>(M2*1.7)+M2</f>
        <v>113.13</v>
      </c>
      <c r="AM2" s="1">
        <f>(N2*1.9)+N2</f>
        <v>125.28</v>
      </c>
      <c r="AN2" s="1">
        <f>(O2*2.05)+O2</f>
        <v>125.96499999999999</v>
      </c>
      <c r="AO2" s="1">
        <f>(P2*2.25)+P2</f>
        <v>104.32500000000002</v>
      </c>
      <c r="AP2" s="1">
        <f>(Q2*2.45)+Q2</f>
        <v>95.565000000000012</v>
      </c>
      <c r="AQ2" s="1">
        <f>(R2*2.5)+R2</f>
        <v>99.05</v>
      </c>
      <c r="AR2" s="1">
        <f>(S2*2.7)+S2</f>
        <v>99.53</v>
      </c>
      <c r="AS2" s="1">
        <f>(T2*2.85)+T2</f>
        <v>162.85499999999999</v>
      </c>
      <c r="AT2" s="1">
        <f>(U2*3.05)+U2</f>
        <v>138.91499999999996</v>
      </c>
      <c r="AU2" s="1">
        <f>(V2*3.15)+V2</f>
        <v>107.89999999999999</v>
      </c>
      <c r="AV2" s="1">
        <f>(W2*3.4)+W2</f>
        <v>105.6</v>
      </c>
      <c r="AW2" s="1">
        <f>(X2*3.6)+X2</f>
        <v>144.9</v>
      </c>
      <c r="AX2" s="1">
        <f>(Y2*3.7)+Y2</f>
        <v>176.25</v>
      </c>
      <c r="AY2" s="1">
        <f>(Z2*3.95)+Z2</f>
        <v>130.185</v>
      </c>
    </row>
    <row r="3" spans="1:51" ht="16" x14ac:dyDescent="0.2">
      <c r="A3" s="8" t="s">
        <v>209</v>
      </c>
      <c r="B3" s="16" t="s">
        <v>437</v>
      </c>
      <c r="C3" s="1">
        <v>44.6</v>
      </c>
      <c r="D3" s="1">
        <v>38.700000000000003</v>
      </c>
      <c r="E3" s="1">
        <v>42.1</v>
      </c>
      <c r="F3" s="1">
        <v>43</v>
      </c>
      <c r="G3" s="1">
        <v>44.8</v>
      </c>
      <c r="H3" s="1">
        <v>44</v>
      </c>
      <c r="I3" s="1">
        <v>42.6</v>
      </c>
      <c r="J3" s="1">
        <v>48.4</v>
      </c>
      <c r="K3" s="1">
        <v>50</v>
      </c>
      <c r="L3" s="1">
        <v>50.4</v>
      </c>
      <c r="M3" s="1">
        <v>51</v>
      </c>
      <c r="N3" s="1">
        <v>47.6</v>
      </c>
      <c r="O3" s="1">
        <v>43.1</v>
      </c>
      <c r="P3" s="1">
        <v>42.8</v>
      </c>
      <c r="Q3" s="1">
        <v>34.9</v>
      </c>
      <c r="R3" s="1">
        <v>38.1</v>
      </c>
      <c r="S3" s="1">
        <v>33.200000000000003</v>
      </c>
      <c r="T3" s="1">
        <v>36.5</v>
      </c>
      <c r="U3" s="1">
        <v>35.299999999999997</v>
      </c>
      <c r="V3" s="1">
        <v>29.3</v>
      </c>
      <c r="W3" s="1">
        <v>26.8</v>
      </c>
      <c r="X3" s="1">
        <v>26.9</v>
      </c>
      <c r="Y3" s="1">
        <v>21.2</v>
      </c>
      <c r="Z3" s="1">
        <v>21.1</v>
      </c>
      <c r="AA3" s="16"/>
      <c r="AB3" s="1">
        <v>44.6</v>
      </c>
      <c r="AC3" s="1">
        <f>(D3*0.2)+D3</f>
        <v>46.440000000000005</v>
      </c>
      <c r="AD3" s="1">
        <f>(E3*0.4)+E3</f>
        <v>58.94</v>
      </c>
      <c r="AE3" s="1">
        <f t="shared" ref="AE3:AE4" si="0">(F3*0.55)+F3</f>
        <v>66.650000000000006</v>
      </c>
      <c r="AF3" s="1">
        <f t="shared" ref="AF3:AF4" si="1">(G3*0.7)+G3</f>
        <v>76.16</v>
      </c>
      <c r="AG3" s="1">
        <f t="shared" ref="AG3:AG4" si="2">(H3*0.85)+H3</f>
        <v>81.400000000000006</v>
      </c>
      <c r="AH3" s="1">
        <f t="shared" ref="AH3:AH4" si="3">(I3*1.05)+I3</f>
        <v>87.330000000000013</v>
      </c>
      <c r="AI3" s="1">
        <f t="shared" ref="AI3:AI4" si="4">(J3*1.25)+J3</f>
        <v>108.9</v>
      </c>
      <c r="AJ3" s="1">
        <f t="shared" ref="AJ3:AJ4" si="5">(K3*1.3)+K3</f>
        <v>115</v>
      </c>
      <c r="AK3" s="1">
        <f t="shared" ref="AK3:AK4" si="6">(L3*1.5)+L3</f>
        <v>126</v>
      </c>
      <c r="AL3" s="1">
        <f t="shared" ref="AL3:AL4" si="7">(M3*1.7)+M3</f>
        <v>137.69999999999999</v>
      </c>
      <c r="AM3" s="1">
        <f t="shared" ref="AM3:AM4" si="8">(N3*1.9)+N3</f>
        <v>138.04</v>
      </c>
      <c r="AN3" s="1">
        <f t="shared" ref="AN3:AN4" si="9">(O3*2.05)+O3</f>
        <v>131.45499999999998</v>
      </c>
      <c r="AO3" s="1">
        <f t="shared" ref="AO3:AO4" si="10">(P3*2.25)+P3</f>
        <v>139.1</v>
      </c>
      <c r="AP3" s="1">
        <f t="shared" ref="AP3:AP4" si="11">(Q3*2.45)+Q3</f>
        <v>120.405</v>
      </c>
      <c r="AQ3" s="1">
        <f t="shared" ref="AQ3:AQ4" si="12">(R3*2.5)+R3</f>
        <v>133.35</v>
      </c>
      <c r="AR3" s="1">
        <f t="shared" ref="AR3:AR4" si="13">(S3*2.7)+S3</f>
        <v>122.84000000000002</v>
      </c>
      <c r="AS3" s="1">
        <f t="shared" ref="AS3:AS4" si="14">(T3*2.85)+T3</f>
        <v>140.52500000000001</v>
      </c>
      <c r="AT3" s="1">
        <f t="shared" ref="AT3:AT4" si="15">(U3*3.05)+U3</f>
        <v>142.96499999999997</v>
      </c>
      <c r="AU3" s="1">
        <f t="shared" ref="AU3:AU4" si="16">(V3*3.15)+V3</f>
        <v>121.595</v>
      </c>
      <c r="AV3" s="1">
        <f t="shared" ref="AV3:AV4" si="17">(W3*3.4)+W3</f>
        <v>117.92</v>
      </c>
      <c r="AW3" s="1">
        <f t="shared" ref="AW3:AW4" si="18">(X3*3.6)+X3</f>
        <v>123.74000000000001</v>
      </c>
      <c r="AX3" s="1">
        <f t="shared" ref="AX3:AX4" si="19">(Y3*3.7)+Y3</f>
        <v>99.64</v>
      </c>
      <c r="AY3" s="1">
        <f t="shared" ref="AY3:AY4" si="20">(Z3*3.95)+Z3</f>
        <v>104.44500000000002</v>
      </c>
    </row>
    <row r="4" spans="1:51" ht="16" x14ac:dyDescent="0.2">
      <c r="A4" s="8" t="s">
        <v>247</v>
      </c>
      <c r="B4" s="16" t="s">
        <v>687</v>
      </c>
      <c r="C4" s="1">
        <v>5.4</v>
      </c>
      <c r="D4" s="1">
        <v>5.0999999999999996</v>
      </c>
      <c r="E4" s="1">
        <v>5.3</v>
      </c>
      <c r="F4" s="1">
        <v>4.4000000000000004</v>
      </c>
      <c r="G4" s="1">
        <v>3.3</v>
      </c>
      <c r="H4" s="1">
        <v>3</v>
      </c>
      <c r="I4" s="1">
        <v>0.4</v>
      </c>
      <c r="J4" s="1">
        <v>1</v>
      </c>
      <c r="K4" s="1">
        <v>1.4</v>
      </c>
      <c r="L4" s="1">
        <v>1.2</v>
      </c>
      <c r="M4" s="1">
        <v>1</v>
      </c>
      <c r="N4" s="1">
        <v>0.7</v>
      </c>
      <c r="O4" s="1">
        <v>0.7</v>
      </c>
      <c r="P4" s="1">
        <v>0.5</v>
      </c>
      <c r="Q4" s="1">
        <v>0.3</v>
      </c>
      <c r="R4" s="1">
        <v>0.3</v>
      </c>
      <c r="S4" s="1">
        <v>0.5</v>
      </c>
      <c r="T4" s="1">
        <v>0.6</v>
      </c>
      <c r="U4" s="1">
        <v>1</v>
      </c>
      <c r="V4" s="1">
        <v>0.8</v>
      </c>
      <c r="W4" s="1">
        <v>1.1000000000000001</v>
      </c>
      <c r="X4" s="1">
        <v>0.8</v>
      </c>
      <c r="Y4" s="1">
        <v>0.7</v>
      </c>
      <c r="Z4" s="1">
        <v>2.4</v>
      </c>
      <c r="AA4" s="16"/>
      <c r="AB4" s="1">
        <v>5.4</v>
      </c>
      <c r="AC4" s="1">
        <f>(D4*0.2)+D4</f>
        <v>6.1199999999999992</v>
      </c>
      <c r="AD4" s="1">
        <f>(E4*0.4)+E4</f>
        <v>7.42</v>
      </c>
      <c r="AE4" s="1">
        <f t="shared" si="0"/>
        <v>6.82</v>
      </c>
      <c r="AF4" s="1">
        <f t="shared" si="1"/>
        <v>5.6099999999999994</v>
      </c>
      <c r="AG4" s="1">
        <f t="shared" si="2"/>
        <v>5.55</v>
      </c>
      <c r="AH4" s="1">
        <f t="shared" si="3"/>
        <v>0.82000000000000006</v>
      </c>
      <c r="AI4" s="1">
        <f t="shared" si="4"/>
        <v>2.25</v>
      </c>
      <c r="AJ4" s="1">
        <f t="shared" si="5"/>
        <v>3.2199999999999998</v>
      </c>
      <c r="AK4" s="1">
        <f t="shared" si="6"/>
        <v>3</v>
      </c>
      <c r="AL4" s="1">
        <f t="shared" si="7"/>
        <v>2.7</v>
      </c>
      <c r="AM4" s="1">
        <f t="shared" si="8"/>
        <v>2.0299999999999998</v>
      </c>
      <c r="AN4" s="1">
        <f t="shared" si="9"/>
        <v>2.1349999999999998</v>
      </c>
      <c r="AO4" s="1">
        <f t="shared" si="10"/>
        <v>1.625</v>
      </c>
      <c r="AP4" s="1">
        <f t="shared" si="11"/>
        <v>1.0349999999999999</v>
      </c>
      <c r="AQ4" s="1">
        <f t="shared" si="12"/>
        <v>1.05</v>
      </c>
      <c r="AR4" s="1">
        <f t="shared" si="13"/>
        <v>1.85</v>
      </c>
      <c r="AS4" s="1">
        <f t="shared" si="14"/>
        <v>2.31</v>
      </c>
      <c r="AT4" s="1">
        <f t="shared" si="15"/>
        <v>4.05</v>
      </c>
      <c r="AU4" s="1">
        <f t="shared" si="16"/>
        <v>3.3200000000000003</v>
      </c>
      <c r="AV4" s="1">
        <f t="shared" si="17"/>
        <v>4.84</v>
      </c>
      <c r="AW4" s="1">
        <f t="shared" si="18"/>
        <v>3.6800000000000006</v>
      </c>
      <c r="AX4" s="1">
        <f t="shared" si="19"/>
        <v>3.29</v>
      </c>
      <c r="AY4" s="1">
        <f t="shared" si="20"/>
        <v>11.88</v>
      </c>
    </row>
    <row r="5" spans="1:51" ht="16" x14ac:dyDescent="0.2">
      <c r="A5" s="8" t="s">
        <v>248</v>
      </c>
      <c r="B5" s="16" t="s">
        <v>688</v>
      </c>
      <c r="D5" s="1">
        <v>11.7</v>
      </c>
      <c r="E5" s="1">
        <v>11</v>
      </c>
      <c r="Y5" s="1"/>
      <c r="Z5" s="1"/>
      <c r="AA5" s="16"/>
      <c r="AB5" s="1"/>
      <c r="AC5" s="1">
        <v>11.7</v>
      </c>
      <c r="AD5" s="1">
        <f>(E5*0.2)+E5</f>
        <v>13.2</v>
      </c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Y5" s="1"/>
    </row>
    <row r="6" spans="1:51" ht="16" x14ac:dyDescent="0.2">
      <c r="A6" s="8" t="s">
        <v>249</v>
      </c>
      <c r="B6" s="16" t="s">
        <v>689</v>
      </c>
      <c r="F6" s="1">
        <v>6.5</v>
      </c>
      <c r="G6" s="1">
        <v>7.7</v>
      </c>
      <c r="H6" s="1">
        <v>7</v>
      </c>
      <c r="I6" s="1">
        <v>5.4</v>
      </c>
      <c r="J6" s="1">
        <v>5.5</v>
      </c>
      <c r="K6" s="1">
        <v>5.5</v>
      </c>
      <c r="L6" s="1">
        <v>5.4</v>
      </c>
      <c r="M6" s="1">
        <v>6.1</v>
      </c>
      <c r="N6" s="1">
        <v>5</v>
      </c>
      <c r="O6" s="1">
        <v>9.6999999999999993</v>
      </c>
      <c r="P6" s="1">
        <v>16.600000000000001</v>
      </c>
      <c r="Q6" s="1">
        <v>22.5</v>
      </c>
      <c r="R6" s="1">
        <v>21.9</v>
      </c>
      <c r="S6" s="1">
        <v>26.9</v>
      </c>
      <c r="T6" s="1">
        <v>10</v>
      </c>
      <c r="U6" s="1">
        <v>11</v>
      </c>
      <c r="V6" s="1">
        <v>17.5</v>
      </c>
      <c r="W6" s="1">
        <v>20.5</v>
      </c>
      <c r="X6" s="1">
        <v>26</v>
      </c>
      <c r="Y6" s="1">
        <v>16.2</v>
      </c>
      <c r="Z6" s="1">
        <v>28.9</v>
      </c>
      <c r="AA6" s="16"/>
      <c r="AB6" s="1"/>
      <c r="AC6" s="1"/>
      <c r="AD6" s="1"/>
      <c r="AE6" s="1">
        <v>6.5</v>
      </c>
      <c r="AF6" s="1">
        <f>(G6*0.15)+G6</f>
        <v>8.8550000000000004</v>
      </c>
      <c r="AG6" s="1">
        <f>(H6*0.3)+H6</f>
        <v>9.1</v>
      </c>
      <c r="AH6" s="1">
        <f>(I6*0.5)+I6</f>
        <v>8.1000000000000014</v>
      </c>
      <c r="AI6" s="1">
        <f>(J6*0.7)+J6</f>
        <v>9.35</v>
      </c>
      <c r="AJ6" s="1">
        <f>(K6*0.75)+K6</f>
        <v>9.625</v>
      </c>
      <c r="AK6" s="1">
        <f>(L6*0.95)+L6</f>
        <v>10.530000000000001</v>
      </c>
      <c r="AL6" s="1">
        <f>(M6*1.15)+M6</f>
        <v>13.114999999999998</v>
      </c>
      <c r="AM6" s="1">
        <f>(N6*1.35)+N6</f>
        <v>11.75</v>
      </c>
      <c r="AN6" s="1">
        <f>(O6*1.5)+O6</f>
        <v>24.25</v>
      </c>
      <c r="AO6" s="1">
        <f>(P6*1.7)+P6</f>
        <v>44.820000000000007</v>
      </c>
      <c r="AP6" s="1">
        <f>(Q6*1.9)+Q6</f>
        <v>65.25</v>
      </c>
      <c r="AQ6" s="1">
        <f>(R6*1.95)+R6</f>
        <v>64.60499999999999</v>
      </c>
      <c r="AR6" s="1">
        <f>(S6*2.15)+S6</f>
        <v>84.734999999999985</v>
      </c>
      <c r="AS6" s="1">
        <f>(T6*2.3)+T6</f>
        <v>33</v>
      </c>
      <c r="AT6" s="1">
        <f>(U6*2.5)+U6</f>
        <v>38.5</v>
      </c>
      <c r="AU6" s="1">
        <f>(V6*2.6)+V6</f>
        <v>63</v>
      </c>
      <c r="AV6" s="1">
        <f>(W6*2.85)+W6</f>
        <v>78.925000000000011</v>
      </c>
      <c r="AW6" s="1">
        <f>(X6*3.05)+X6</f>
        <v>105.3</v>
      </c>
      <c r="AX6" s="1">
        <f>(Y6*3.15)+Y6</f>
        <v>67.22999999999999</v>
      </c>
      <c r="AY6" s="1">
        <f>(Z6*3.4)+Z6</f>
        <v>127.16</v>
      </c>
    </row>
    <row r="7" spans="1:51" ht="16" x14ac:dyDescent="0.2">
      <c r="A7" s="21" t="s">
        <v>443</v>
      </c>
      <c r="B7" s="16" t="s">
        <v>690</v>
      </c>
      <c r="O7" s="1">
        <v>4.8</v>
      </c>
      <c r="P7" s="1">
        <v>4.8</v>
      </c>
      <c r="Q7" s="1">
        <v>7.3</v>
      </c>
      <c r="R7" s="1">
        <v>4.8</v>
      </c>
      <c r="S7" s="1">
        <v>7.4</v>
      </c>
      <c r="T7" s="1">
        <v>9.5</v>
      </c>
      <c r="U7" s="1">
        <v>11.1</v>
      </c>
      <c r="V7" s="1">
        <v>10.4</v>
      </c>
      <c r="W7" s="1">
        <v>12.4</v>
      </c>
      <c r="X7" s="1">
        <v>3.8</v>
      </c>
      <c r="Y7" s="12">
        <v>13.9</v>
      </c>
      <c r="Z7" s="12">
        <v>8.1999999999999993</v>
      </c>
      <c r="AA7" s="16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>
        <v>4.8</v>
      </c>
      <c r="AO7" s="1">
        <f>(P7*0.2)+P7</f>
        <v>5.76</v>
      </c>
      <c r="AP7" s="1">
        <f>(Q7*0.4)+Q7</f>
        <v>10.219999999999999</v>
      </c>
      <c r="AQ7" s="1">
        <f>(R7*0.45)+R7</f>
        <v>6.96</v>
      </c>
      <c r="AR7" s="1">
        <f>(S7*0.65)+S7</f>
        <v>12.21</v>
      </c>
      <c r="AS7" s="1">
        <f>(T7*0.8)+T7</f>
        <v>17.100000000000001</v>
      </c>
      <c r="AT7" s="1">
        <f>(U7*1)+U7</f>
        <v>22.2</v>
      </c>
      <c r="AU7" s="1">
        <f>(V7*1.1)+V7</f>
        <v>21.840000000000003</v>
      </c>
      <c r="AV7" s="1">
        <f>(W7*1.35)+W7</f>
        <v>29.14</v>
      </c>
      <c r="AW7" s="1">
        <f>(X7*1.55)+X7</f>
        <v>9.69</v>
      </c>
      <c r="AX7" s="1">
        <f>(Y7*1.65)+Y7</f>
        <v>36.835000000000001</v>
      </c>
      <c r="AY7" s="1">
        <f>(Z7*1.9)+Z7</f>
        <v>23.779999999999998</v>
      </c>
    </row>
    <row r="8" spans="1:51" ht="16" x14ac:dyDescent="0.2">
      <c r="A8" s="21" t="s">
        <v>442</v>
      </c>
      <c r="B8" s="16" t="s">
        <v>691</v>
      </c>
      <c r="I8" s="1">
        <v>3.3</v>
      </c>
      <c r="J8" s="1">
        <v>0.3</v>
      </c>
      <c r="O8" s="1"/>
      <c r="P8" s="1"/>
      <c r="Q8" s="1"/>
      <c r="R8" s="1"/>
      <c r="S8" s="1"/>
      <c r="T8" s="1"/>
      <c r="U8" s="1"/>
      <c r="V8" s="1"/>
      <c r="W8" s="1"/>
      <c r="X8" s="1"/>
      <c r="Y8" s="12"/>
      <c r="Z8" s="12"/>
      <c r="AA8" s="16"/>
      <c r="AB8" s="1"/>
      <c r="AC8" s="1"/>
      <c r="AD8" s="1"/>
      <c r="AE8" s="1"/>
      <c r="AF8" s="1"/>
      <c r="AG8" s="1"/>
      <c r="AH8" s="1">
        <v>3.3</v>
      </c>
      <c r="AI8" s="1">
        <f>(J8*0.2)+J8</f>
        <v>0.36</v>
      </c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4"/>
      <c r="AY8" s="1"/>
    </row>
    <row r="9" spans="1:51" ht="16" x14ac:dyDescent="0.2">
      <c r="A9" s="21" t="s">
        <v>444</v>
      </c>
      <c r="B9" s="16" t="s">
        <v>692</v>
      </c>
      <c r="O9" s="1"/>
      <c r="P9" s="1"/>
      <c r="Q9" s="1"/>
      <c r="R9" s="1"/>
      <c r="S9" s="1"/>
      <c r="T9" s="1"/>
      <c r="U9" s="1"/>
      <c r="V9" s="1"/>
      <c r="W9" s="1">
        <v>5.7</v>
      </c>
      <c r="X9" s="1"/>
      <c r="Y9" s="12"/>
      <c r="Z9" s="12"/>
      <c r="AA9" s="16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>
        <v>5.7</v>
      </c>
      <c r="AW9" s="1"/>
      <c r="AX9" s="4"/>
      <c r="AY9" s="1"/>
    </row>
    <row r="10" spans="1:51" ht="16" x14ac:dyDescent="0.2">
      <c r="A10" s="21" t="s">
        <v>445</v>
      </c>
      <c r="B10" s="16" t="s">
        <v>693</v>
      </c>
      <c r="O10" s="1"/>
      <c r="P10" s="1"/>
      <c r="Q10" s="1"/>
      <c r="R10" s="1"/>
      <c r="S10" s="1"/>
      <c r="T10" s="1"/>
      <c r="U10" s="1"/>
      <c r="V10" s="1"/>
      <c r="W10" s="1">
        <v>5</v>
      </c>
      <c r="X10" s="1">
        <v>5.3</v>
      </c>
      <c r="Y10" s="12">
        <v>8.1</v>
      </c>
      <c r="Z10" s="12">
        <v>9.1</v>
      </c>
      <c r="AA10" s="16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>
        <v>5</v>
      </c>
      <c r="AW10" s="1">
        <f>(X10*0.2)+X10</f>
        <v>6.3599999999999994</v>
      </c>
      <c r="AX10" s="1">
        <f>(Y10*0.3)+Y10</f>
        <v>10.53</v>
      </c>
      <c r="AY10" s="1">
        <f>(Z10*0.55)+Z10</f>
        <v>14.105</v>
      </c>
    </row>
    <row r="11" spans="1:51" ht="16" x14ac:dyDescent="0.2">
      <c r="A11" s="21" t="s">
        <v>1333</v>
      </c>
      <c r="B11" s="16" t="s">
        <v>1334</v>
      </c>
      <c r="O11" s="1"/>
      <c r="P11" s="1"/>
      <c r="Q11" s="1"/>
      <c r="R11" s="1"/>
      <c r="S11" s="1"/>
      <c r="T11" s="1"/>
      <c r="U11" s="1"/>
      <c r="V11" s="1"/>
      <c r="W11" s="1"/>
      <c r="X11" s="1">
        <v>4.4000000000000004</v>
      </c>
      <c r="Y11" s="12">
        <v>1.9</v>
      </c>
      <c r="Z11" s="12"/>
      <c r="AA11" s="16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>
        <v>4.4000000000000004</v>
      </c>
      <c r="AX11" s="1">
        <f>(Y11*0.1)+Y11</f>
        <v>2.09</v>
      </c>
      <c r="AY11" s="1"/>
    </row>
    <row r="12" spans="1:51" ht="16" x14ac:dyDescent="0.2">
      <c r="A12" s="8" t="s">
        <v>355</v>
      </c>
      <c r="B12" s="16" t="s">
        <v>694</v>
      </c>
      <c r="O12" s="1"/>
      <c r="P12" s="1"/>
      <c r="Q12" s="1">
        <v>6</v>
      </c>
      <c r="R12" s="1">
        <v>5.5</v>
      </c>
      <c r="S12" s="1">
        <v>3.6</v>
      </c>
      <c r="T12" s="1">
        <v>1</v>
      </c>
      <c r="U12" s="1"/>
      <c r="V12" s="1">
        <v>2.1</v>
      </c>
      <c r="W12" s="1"/>
      <c r="X12" s="1"/>
      <c r="Y12" s="1"/>
      <c r="Z12" s="1"/>
      <c r="AA12" s="16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>
        <v>6</v>
      </c>
      <c r="AQ12" s="1">
        <f>(R12*0.05)+R12</f>
        <v>5.7750000000000004</v>
      </c>
      <c r="AR12" s="1">
        <f>(S12*0.25)+S12</f>
        <v>4.5</v>
      </c>
      <c r="AS12" s="1">
        <f>(T12*0.4)+T12</f>
        <v>1.4</v>
      </c>
      <c r="AT12" s="1"/>
      <c r="AU12" s="1">
        <f>(V12*0.7)+V12</f>
        <v>3.5700000000000003</v>
      </c>
      <c r="AV12" s="1"/>
      <c r="AX12" s="4"/>
    </row>
    <row r="13" spans="1:51" ht="16" x14ac:dyDescent="0.2">
      <c r="A13" s="8" t="s">
        <v>356</v>
      </c>
      <c r="B13" s="16" t="s">
        <v>695</v>
      </c>
      <c r="O13" s="1"/>
      <c r="P13" s="1"/>
      <c r="Q13" s="1"/>
      <c r="R13" s="1"/>
      <c r="S13" s="1"/>
      <c r="T13" s="1"/>
      <c r="U13" s="1">
        <v>4.0999999999999996</v>
      </c>
      <c r="V13" s="1">
        <v>10.7</v>
      </c>
      <c r="W13" s="1">
        <v>3.5</v>
      </c>
      <c r="X13" s="1"/>
      <c r="Y13" s="1"/>
      <c r="Z13" s="1"/>
      <c r="AA13" s="16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>
        <v>4.0999999999999996</v>
      </c>
      <c r="AU13" s="1">
        <f>(V13*0.1)+V13</f>
        <v>11.77</v>
      </c>
      <c r="AV13" s="1">
        <f>(W13*0.35)+W13</f>
        <v>4.7249999999999996</v>
      </c>
      <c r="AX13" s="4"/>
    </row>
    <row r="14" spans="1:51" x14ac:dyDescent="0.2">
      <c r="AA14" s="3" t="s">
        <v>14</v>
      </c>
      <c r="AB14" s="1">
        <f>SUM(AB2:AB13)</f>
        <v>99.800000000000011</v>
      </c>
      <c r="AC14" s="1">
        <f>SUM(AC2:AC13)</f>
        <v>117.06000000000002</v>
      </c>
      <c r="AD14" s="1">
        <f t="shared" ref="AD14:AY14" si="21">SUM(AD2:AD13)</f>
        <v>137.38</v>
      </c>
      <c r="AE14" s="1">
        <f t="shared" si="21"/>
        <v>151.26999999999998</v>
      </c>
      <c r="AF14" s="1">
        <f t="shared" si="21"/>
        <v>165.76500000000001</v>
      </c>
      <c r="AG14" s="1">
        <f t="shared" si="21"/>
        <v>180.04</v>
      </c>
      <c r="AH14" s="1">
        <f t="shared" si="21"/>
        <v>198.565</v>
      </c>
      <c r="AI14" s="1">
        <f t="shared" si="21"/>
        <v>221.43500000000003</v>
      </c>
      <c r="AJ14" s="1">
        <f t="shared" si="21"/>
        <v>226.97499999999999</v>
      </c>
      <c r="AK14" s="1">
        <f t="shared" si="21"/>
        <v>246.78</v>
      </c>
      <c r="AL14" s="1">
        <f t="shared" si="21"/>
        <v>266.64499999999998</v>
      </c>
      <c r="AM14" s="1">
        <f t="shared" si="21"/>
        <v>277.09999999999997</v>
      </c>
      <c r="AN14" s="1">
        <f t="shared" si="21"/>
        <v>288.60499999999996</v>
      </c>
      <c r="AO14" s="1">
        <f t="shared" si="21"/>
        <v>295.63</v>
      </c>
      <c r="AP14" s="1">
        <f t="shared" si="21"/>
        <v>298.47500000000002</v>
      </c>
      <c r="AQ14" s="1">
        <f t="shared" si="21"/>
        <v>310.78999999999991</v>
      </c>
      <c r="AR14" s="1">
        <f t="shared" si="21"/>
        <v>325.66499999999996</v>
      </c>
      <c r="AS14" s="1">
        <f t="shared" si="21"/>
        <v>357.19</v>
      </c>
      <c r="AT14" s="1">
        <f t="shared" si="21"/>
        <v>350.72999999999996</v>
      </c>
      <c r="AU14" s="1">
        <f t="shared" si="21"/>
        <v>332.99499999999995</v>
      </c>
      <c r="AV14" s="1">
        <f t="shared" si="21"/>
        <v>351.84999999999997</v>
      </c>
      <c r="AW14" s="1">
        <f t="shared" si="21"/>
        <v>398.07</v>
      </c>
      <c r="AX14" s="1">
        <f t="shared" si="21"/>
        <v>395.8649999999999</v>
      </c>
      <c r="AY14" s="1">
        <f t="shared" si="21"/>
        <v>411.55500000000001</v>
      </c>
    </row>
    <row r="16" spans="1:51" x14ac:dyDescent="0.2">
      <c r="AB16" s="1">
        <v>100</v>
      </c>
      <c r="AC16" s="1">
        <v>120</v>
      </c>
      <c r="AD16" s="1">
        <v>140</v>
      </c>
      <c r="AE16" s="1">
        <v>155</v>
      </c>
      <c r="AF16" s="1">
        <v>170</v>
      </c>
      <c r="AG16" s="1">
        <v>185</v>
      </c>
      <c r="AH16" s="1">
        <v>205</v>
      </c>
      <c r="AI16" s="1">
        <v>225</v>
      </c>
      <c r="AJ16" s="1">
        <v>230</v>
      </c>
      <c r="AK16" s="1">
        <v>250</v>
      </c>
      <c r="AL16" s="1">
        <v>270</v>
      </c>
      <c r="AM16" s="1">
        <v>290</v>
      </c>
      <c r="AN16" s="1">
        <v>305</v>
      </c>
      <c r="AO16" s="1">
        <v>325</v>
      </c>
      <c r="AP16" s="1">
        <v>345</v>
      </c>
      <c r="AQ16" s="1">
        <v>350</v>
      </c>
      <c r="AR16" s="1">
        <v>370</v>
      </c>
      <c r="AS16" s="1">
        <v>385</v>
      </c>
      <c r="AT16" s="1">
        <v>405</v>
      </c>
      <c r="AU16" s="1">
        <v>415</v>
      </c>
      <c r="AV16" s="1">
        <v>440</v>
      </c>
      <c r="AW16" s="1">
        <v>460</v>
      </c>
      <c r="AX16" s="1">
        <v>470</v>
      </c>
      <c r="AY16" s="1">
        <v>495</v>
      </c>
    </row>
    <row r="17" spans="1:51" ht="16" x14ac:dyDescent="0.2">
      <c r="A17" s="21"/>
      <c r="B17" s="21"/>
      <c r="C17" s="16"/>
    </row>
    <row r="18" spans="1:51" ht="16" x14ac:dyDescent="0.2">
      <c r="A18" s="21"/>
      <c r="B18" s="21"/>
      <c r="C18" s="16"/>
      <c r="AB18" s="1">
        <f>AB14</f>
        <v>99.800000000000011</v>
      </c>
      <c r="AC18" s="1">
        <f>SUM(AB18+AC14)</f>
        <v>216.86</v>
      </c>
      <c r="AD18" s="1">
        <f>SUM(AC18+AD14)</f>
        <v>354.24</v>
      </c>
      <c r="AE18" s="1">
        <f t="shared" ref="AE18:AY18" si="22">SUM(AD18+AE14)</f>
        <v>505.51</v>
      </c>
      <c r="AF18" s="1">
        <f t="shared" si="22"/>
        <v>671.27499999999998</v>
      </c>
      <c r="AG18" s="1">
        <f t="shared" si="22"/>
        <v>851.31499999999994</v>
      </c>
      <c r="AH18" s="1">
        <f t="shared" si="22"/>
        <v>1049.8799999999999</v>
      </c>
      <c r="AI18" s="1">
        <f t="shared" si="22"/>
        <v>1271.3149999999998</v>
      </c>
      <c r="AJ18" s="1">
        <f t="shared" si="22"/>
        <v>1498.2899999999997</v>
      </c>
      <c r="AK18" s="1">
        <f t="shared" si="22"/>
        <v>1745.0699999999997</v>
      </c>
      <c r="AL18" s="1">
        <f t="shared" si="22"/>
        <v>2011.7149999999997</v>
      </c>
      <c r="AM18" s="1">
        <f t="shared" si="22"/>
        <v>2288.8149999999996</v>
      </c>
      <c r="AN18" s="1">
        <f t="shared" si="22"/>
        <v>2577.4199999999996</v>
      </c>
      <c r="AO18" s="1">
        <f t="shared" si="22"/>
        <v>2873.0499999999997</v>
      </c>
      <c r="AP18" s="1">
        <f t="shared" si="22"/>
        <v>3171.5249999999996</v>
      </c>
      <c r="AQ18" s="1">
        <f t="shared" si="22"/>
        <v>3482.3149999999996</v>
      </c>
      <c r="AR18" s="1">
        <f t="shared" si="22"/>
        <v>3807.9799999999996</v>
      </c>
      <c r="AS18" s="1">
        <f t="shared" si="22"/>
        <v>4165.1699999999992</v>
      </c>
      <c r="AT18" s="1">
        <f t="shared" si="22"/>
        <v>4515.8999999999987</v>
      </c>
      <c r="AU18" s="1">
        <f t="shared" si="22"/>
        <v>4848.8949999999986</v>
      </c>
      <c r="AV18" s="1">
        <f t="shared" si="22"/>
        <v>5200.744999999999</v>
      </c>
      <c r="AW18" s="1">
        <f t="shared" si="22"/>
        <v>5598.8149999999987</v>
      </c>
      <c r="AX18" s="1">
        <f t="shared" si="22"/>
        <v>5994.6799999999985</v>
      </c>
      <c r="AY18" s="1">
        <f t="shared" si="22"/>
        <v>6406.2349999999988</v>
      </c>
    </row>
    <row r="19" spans="1:51" ht="16" x14ac:dyDescent="0.2">
      <c r="A19" s="21"/>
      <c r="B19" s="21"/>
      <c r="C19" s="16"/>
      <c r="AB19" s="3"/>
      <c r="AC19" s="3"/>
      <c r="AD19" s="3"/>
      <c r="AE19" s="3"/>
      <c r="AF19" s="1"/>
      <c r="AG19" s="1"/>
      <c r="AH19" s="1"/>
      <c r="AI19" s="1"/>
      <c r="AJ19" s="1"/>
      <c r="AK19" s="3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51" ht="16" x14ac:dyDescent="0.2">
      <c r="A20" s="21"/>
      <c r="B20" s="21"/>
      <c r="C20" s="16"/>
      <c r="AB20" s="1">
        <v>100</v>
      </c>
      <c r="AC20" s="1">
        <f>SUM(AB20+AC16)</f>
        <v>220</v>
      </c>
      <c r="AD20" s="1">
        <f>SUM(AC20+AD16)</f>
        <v>360</v>
      </c>
      <c r="AE20" s="1">
        <f t="shared" ref="AE20:AY20" si="23">SUM(AD20+AE16)</f>
        <v>515</v>
      </c>
      <c r="AF20" s="1">
        <f t="shared" si="23"/>
        <v>685</v>
      </c>
      <c r="AG20" s="1">
        <f t="shared" si="23"/>
        <v>870</v>
      </c>
      <c r="AH20" s="1">
        <f t="shared" si="23"/>
        <v>1075</v>
      </c>
      <c r="AI20" s="1">
        <f t="shared" si="23"/>
        <v>1300</v>
      </c>
      <c r="AJ20" s="1">
        <f t="shared" si="23"/>
        <v>1530</v>
      </c>
      <c r="AK20" s="1">
        <f t="shared" si="23"/>
        <v>1780</v>
      </c>
      <c r="AL20" s="1">
        <f t="shared" si="23"/>
        <v>2050</v>
      </c>
      <c r="AM20" s="1">
        <f t="shared" si="23"/>
        <v>2340</v>
      </c>
      <c r="AN20" s="1">
        <f t="shared" si="23"/>
        <v>2645</v>
      </c>
      <c r="AO20" s="1">
        <f t="shared" si="23"/>
        <v>2970</v>
      </c>
      <c r="AP20" s="1">
        <f t="shared" si="23"/>
        <v>3315</v>
      </c>
      <c r="AQ20" s="1">
        <f t="shared" si="23"/>
        <v>3665</v>
      </c>
      <c r="AR20" s="1">
        <f t="shared" si="23"/>
        <v>4035</v>
      </c>
      <c r="AS20" s="1">
        <f t="shared" si="23"/>
        <v>4420</v>
      </c>
      <c r="AT20" s="1">
        <f t="shared" si="23"/>
        <v>4825</v>
      </c>
      <c r="AU20" s="1">
        <f t="shared" si="23"/>
        <v>5240</v>
      </c>
      <c r="AV20" s="1">
        <f t="shared" si="23"/>
        <v>5680</v>
      </c>
      <c r="AW20" s="1">
        <f t="shared" si="23"/>
        <v>6140</v>
      </c>
      <c r="AX20" s="1">
        <f t="shared" si="23"/>
        <v>6610</v>
      </c>
      <c r="AY20" s="1">
        <f t="shared" si="23"/>
        <v>7105</v>
      </c>
    </row>
    <row r="21" spans="1:51" ht="16" x14ac:dyDescent="0.2">
      <c r="A21" s="21"/>
      <c r="B21" s="21"/>
      <c r="C21" s="16"/>
    </row>
    <row r="22" spans="1:51" ht="16" x14ac:dyDescent="0.2">
      <c r="A22" s="21"/>
      <c r="B22" s="21"/>
      <c r="C22" s="16"/>
      <c r="V22" s="8"/>
      <c r="W22" s="16"/>
      <c r="X22" s="16"/>
      <c r="AB22" s="4" t="s">
        <v>1563</v>
      </c>
      <c r="AC22" s="4" t="s">
        <v>1563</v>
      </c>
      <c r="AD22" s="4" t="s">
        <v>1563</v>
      </c>
      <c r="AE22" s="4" t="s">
        <v>1563</v>
      </c>
      <c r="AF22" s="4" t="s">
        <v>1563</v>
      </c>
      <c r="AG22" s="4" t="s">
        <v>1563</v>
      </c>
      <c r="AH22" s="4" t="s">
        <v>1563</v>
      </c>
      <c r="AI22" s="4" t="s">
        <v>1563</v>
      </c>
      <c r="AJ22" s="4" t="s">
        <v>1563</v>
      </c>
      <c r="AK22" s="4" t="s">
        <v>1563</v>
      </c>
      <c r="AL22" s="4" t="s">
        <v>1563</v>
      </c>
      <c r="AM22" s="4" t="s">
        <v>1563</v>
      </c>
      <c r="AN22" s="4" t="s">
        <v>1563</v>
      </c>
      <c r="AO22" s="4" t="s">
        <v>1563</v>
      </c>
      <c r="AP22" s="4" t="s">
        <v>1563</v>
      </c>
      <c r="AQ22" s="4" t="s">
        <v>1563</v>
      </c>
      <c r="AR22" s="4" t="s">
        <v>1563</v>
      </c>
      <c r="AS22" s="4" t="s">
        <v>1563</v>
      </c>
      <c r="AT22" s="4" t="s">
        <v>1563</v>
      </c>
      <c r="AU22" s="4" t="s">
        <v>1563</v>
      </c>
      <c r="AV22" s="4" t="s">
        <v>1563</v>
      </c>
      <c r="AW22" s="4" t="s">
        <v>1563</v>
      </c>
      <c r="AX22" s="4" t="s">
        <v>1563</v>
      </c>
      <c r="AY22" s="4" t="s">
        <v>1563</v>
      </c>
    </row>
    <row r="23" spans="1:51" ht="16" x14ac:dyDescent="0.2">
      <c r="A23" s="21"/>
      <c r="B23" s="21"/>
      <c r="C23" s="16"/>
      <c r="V23" s="8"/>
      <c r="W23" s="16"/>
      <c r="X23" s="16"/>
      <c r="AB23" s="6">
        <f>(AB18/AB20)*100</f>
        <v>99.800000000000011</v>
      </c>
      <c r="AC23" s="6">
        <f>(AC18/AC20)*100</f>
        <v>98.572727272727278</v>
      </c>
      <c r="AD23" s="6">
        <f>(AD18/AD20)*100</f>
        <v>98.4</v>
      </c>
      <c r="AE23" s="6">
        <f>(AE18/AE20)*100</f>
        <v>98.15728155339805</v>
      </c>
      <c r="AF23" s="6">
        <f t="shared" ref="AF23:AY23" si="24">(AF18/AF20)*100</f>
        <v>97.996350364963504</v>
      </c>
      <c r="AG23" s="6">
        <f t="shared" si="24"/>
        <v>97.852298850574698</v>
      </c>
      <c r="AH23" s="6">
        <f t="shared" si="24"/>
        <v>97.663255813953469</v>
      </c>
      <c r="AI23" s="6">
        <f t="shared" si="24"/>
        <v>97.793461538461528</v>
      </c>
      <c r="AJ23" s="6">
        <f t="shared" si="24"/>
        <v>97.927450980392138</v>
      </c>
      <c r="AK23" s="6">
        <f t="shared" si="24"/>
        <v>98.037640449438186</v>
      </c>
      <c r="AL23" s="6">
        <f t="shared" si="24"/>
        <v>98.132439024390223</v>
      </c>
      <c r="AM23" s="6">
        <f t="shared" si="24"/>
        <v>97.812606837606822</v>
      </c>
      <c r="AN23" s="6">
        <f t="shared" si="24"/>
        <v>97.444990548204146</v>
      </c>
      <c r="AO23" s="6">
        <f t="shared" si="24"/>
        <v>96.735690235690228</v>
      </c>
      <c r="AP23" s="6">
        <f t="shared" si="24"/>
        <v>95.671945701357458</v>
      </c>
      <c r="AQ23" s="6">
        <f t="shared" si="24"/>
        <v>95.015416098226453</v>
      </c>
      <c r="AR23" s="6">
        <f t="shared" si="24"/>
        <v>94.373729863692674</v>
      </c>
      <c r="AS23" s="6">
        <f t="shared" si="24"/>
        <v>94.234615384615367</v>
      </c>
      <c r="AT23" s="6">
        <f t="shared" si="24"/>
        <v>93.593782383419665</v>
      </c>
      <c r="AU23" s="6">
        <f t="shared" si="24"/>
        <v>92.536164122137379</v>
      </c>
      <c r="AV23" s="6">
        <f t="shared" si="24"/>
        <v>91.562411971830969</v>
      </c>
      <c r="AW23" s="6">
        <f t="shared" si="24"/>
        <v>91.185912052117246</v>
      </c>
      <c r="AX23" s="6">
        <f t="shared" si="24"/>
        <v>90.691074130105875</v>
      </c>
      <c r="AY23" s="6">
        <f t="shared" si="24"/>
        <v>90.165165376495409</v>
      </c>
    </row>
    <row r="24" spans="1:51" ht="16" x14ac:dyDescent="0.2">
      <c r="A24" s="21"/>
      <c r="B24" s="21"/>
      <c r="C24" s="16"/>
      <c r="V24" s="8"/>
      <c r="W24" s="16"/>
      <c r="X24" s="16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51" ht="16" x14ac:dyDescent="0.2">
      <c r="A25" s="21"/>
      <c r="B25" s="21"/>
      <c r="C25" s="16"/>
      <c r="V25" s="8"/>
      <c r="W25" s="16"/>
      <c r="X25" s="16"/>
      <c r="AB25" s="1"/>
      <c r="AC25" s="1"/>
      <c r="AD25" s="1"/>
      <c r="AE25" s="1"/>
      <c r="AF25" s="1"/>
      <c r="AG25" s="1"/>
      <c r="AH25" s="1"/>
      <c r="AI25" s="1"/>
      <c r="AJ25" s="1"/>
      <c r="AK25" s="3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51" ht="16" x14ac:dyDescent="0.2">
      <c r="A26" s="21"/>
      <c r="B26" s="21"/>
      <c r="C26" s="16"/>
      <c r="V26" s="8"/>
      <c r="W26" s="16"/>
      <c r="X26" s="16"/>
    </row>
    <row r="27" spans="1:51" ht="16" x14ac:dyDescent="0.2">
      <c r="A27" s="21"/>
      <c r="B27" s="21"/>
      <c r="C27" s="16"/>
      <c r="V27" s="21"/>
      <c r="W27" s="16"/>
      <c r="X27" s="16"/>
    </row>
    <row r="28" spans="1:51" ht="16" x14ac:dyDescent="0.2">
      <c r="V28" s="21"/>
      <c r="W28" s="16"/>
      <c r="X28" s="16"/>
    </row>
    <row r="29" spans="1:51" ht="16" x14ac:dyDescent="0.2">
      <c r="V29" s="21"/>
      <c r="W29" s="16"/>
      <c r="X29" s="16"/>
    </row>
    <row r="30" spans="1:51" ht="16" x14ac:dyDescent="0.2">
      <c r="V30" s="21"/>
      <c r="W30" s="16"/>
      <c r="X30" s="16"/>
    </row>
    <row r="31" spans="1:51" ht="16" x14ac:dyDescent="0.2">
      <c r="V31" s="8"/>
      <c r="W31" s="16"/>
      <c r="X31" s="16"/>
    </row>
    <row r="32" spans="1:51" ht="16" x14ac:dyDescent="0.2">
      <c r="V32" s="8"/>
      <c r="W32" s="16"/>
      <c r="X32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P61"/>
  <sheetViews>
    <sheetView topLeftCell="M13" workbookViewId="0">
      <selection activeCell="W37" sqref="W37:AP37"/>
    </sheetView>
  </sheetViews>
  <sheetFormatPr baseColWidth="10" defaultRowHeight="15" x14ac:dyDescent="0.2"/>
  <sheetData>
    <row r="1" spans="1:42" x14ac:dyDescent="0.2">
      <c r="A1" s="3" t="s">
        <v>15</v>
      </c>
      <c r="B1" s="3">
        <v>1945</v>
      </c>
      <c r="C1" s="3">
        <v>1949</v>
      </c>
      <c r="D1" s="3">
        <v>1951</v>
      </c>
      <c r="E1" s="3">
        <v>1955</v>
      </c>
      <c r="F1" s="3">
        <v>1959</v>
      </c>
      <c r="G1" s="3">
        <v>1964</v>
      </c>
      <c r="H1" s="3">
        <v>1969</v>
      </c>
      <c r="I1" s="3">
        <v>1974</v>
      </c>
      <c r="J1" s="3">
        <v>1978</v>
      </c>
      <c r="K1" s="3">
        <v>1983</v>
      </c>
      <c r="L1" s="3">
        <v>1988</v>
      </c>
      <c r="M1" s="3">
        <v>1993</v>
      </c>
      <c r="N1" s="3">
        <v>1998</v>
      </c>
      <c r="O1" s="3">
        <v>2001</v>
      </c>
      <c r="P1" s="3">
        <v>2006</v>
      </c>
      <c r="Q1" s="3">
        <v>2008</v>
      </c>
      <c r="R1" s="3">
        <v>2012</v>
      </c>
      <c r="S1" s="3">
        <v>2016</v>
      </c>
      <c r="T1" s="3">
        <v>2019</v>
      </c>
      <c r="U1" s="3">
        <v>2024</v>
      </c>
      <c r="W1" s="3">
        <v>1945</v>
      </c>
      <c r="X1" s="3">
        <v>1949</v>
      </c>
      <c r="Y1" s="3">
        <v>1951</v>
      </c>
      <c r="Z1" s="3">
        <v>1955</v>
      </c>
      <c r="AA1" s="3">
        <v>1959</v>
      </c>
      <c r="AB1" s="3">
        <v>1964</v>
      </c>
      <c r="AC1" s="3">
        <v>1969</v>
      </c>
      <c r="AD1" s="3">
        <v>1974</v>
      </c>
      <c r="AE1" s="3">
        <v>1978</v>
      </c>
      <c r="AF1" s="3">
        <v>1983</v>
      </c>
      <c r="AG1" s="3">
        <v>1988</v>
      </c>
      <c r="AH1" s="3">
        <v>1993</v>
      </c>
      <c r="AI1" s="3">
        <v>1998</v>
      </c>
      <c r="AJ1" s="3">
        <v>2001</v>
      </c>
      <c r="AK1" s="3">
        <v>2006</v>
      </c>
      <c r="AL1" s="3">
        <v>2008</v>
      </c>
      <c r="AM1" s="3">
        <v>2012</v>
      </c>
      <c r="AN1" s="3">
        <v>2016</v>
      </c>
      <c r="AO1" s="3">
        <v>2019</v>
      </c>
      <c r="AP1" s="3">
        <v>2024</v>
      </c>
    </row>
    <row r="2" spans="1:42" x14ac:dyDescent="0.2">
      <c r="A2" s="8" t="s">
        <v>94</v>
      </c>
      <c r="B2" s="1">
        <v>34</v>
      </c>
      <c r="C2" s="1">
        <v>42.3</v>
      </c>
      <c r="D2" s="1">
        <v>43</v>
      </c>
      <c r="E2" s="1">
        <v>38.200000000000003</v>
      </c>
      <c r="F2" s="1">
        <v>44.3</v>
      </c>
      <c r="G2" s="1">
        <v>46.8</v>
      </c>
      <c r="H2" s="1">
        <v>44</v>
      </c>
      <c r="I2" s="1">
        <v>39.6</v>
      </c>
      <c r="J2" s="1">
        <v>42.3</v>
      </c>
      <c r="K2" s="1">
        <v>42.1</v>
      </c>
      <c r="L2" s="1">
        <v>44.1</v>
      </c>
      <c r="M2" s="1">
        <v>41.4</v>
      </c>
      <c r="N2" s="1">
        <v>40.9</v>
      </c>
      <c r="O2" s="1">
        <v>41.1</v>
      </c>
      <c r="P2" s="1">
        <v>32.9</v>
      </c>
      <c r="Q2" s="1">
        <v>31.9</v>
      </c>
      <c r="R2" s="1">
        <v>29.5</v>
      </c>
      <c r="S2" s="1">
        <v>24.5</v>
      </c>
      <c r="T2" s="1">
        <v>33.4</v>
      </c>
      <c r="U2" s="1">
        <v>34.1</v>
      </c>
      <c r="W2" s="1">
        <v>34</v>
      </c>
      <c r="X2" s="1">
        <f>(C2*0.2)+C2</f>
        <v>50.76</v>
      </c>
      <c r="Y2" s="1">
        <f>(D2*0.3)+D2</f>
        <v>55.9</v>
      </c>
      <c r="Z2" s="1">
        <f>(E2*0.5)+E2</f>
        <v>57.300000000000004</v>
      </c>
      <c r="AA2" s="1">
        <f>(F2*0.7)+F2</f>
        <v>75.309999999999988</v>
      </c>
      <c r="AB2" s="1">
        <f>(G2*0.95)+G2</f>
        <v>91.259999999999991</v>
      </c>
      <c r="AC2" s="1">
        <f>(H2*1.2)+H2</f>
        <v>96.8</v>
      </c>
      <c r="AD2" s="1">
        <f>(I2*1.45)+I2</f>
        <v>97.02000000000001</v>
      </c>
      <c r="AE2" s="1">
        <f>(J2*1.65)+J2</f>
        <v>112.09499999999998</v>
      </c>
      <c r="AF2" s="1">
        <f>(K2*1.9)+K2</f>
        <v>122.09</v>
      </c>
      <c r="AG2" s="1">
        <f>(L2*2.15)+L2</f>
        <v>138.91499999999999</v>
      </c>
      <c r="AH2" s="1">
        <f>(M2*2.4)+M2</f>
        <v>140.76</v>
      </c>
      <c r="AI2" s="1">
        <f>(N2*2.65)+N2</f>
        <v>149.285</v>
      </c>
      <c r="AJ2" s="1">
        <f>(O2*2.8)+O2</f>
        <v>156.18</v>
      </c>
      <c r="AK2" s="1">
        <f>(P2*3.05)+P2</f>
        <v>133.24499999999998</v>
      </c>
      <c r="AL2" s="1">
        <f>(Q2*3.15)+Q2</f>
        <v>132.38499999999999</v>
      </c>
      <c r="AM2" s="1">
        <f>(R2*3.35)+R2</f>
        <v>128.32499999999999</v>
      </c>
      <c r="AN2" s="1">
        <f>(S2*3.55)+S2</f>
        <v>111.47499999999999</v>
      </c>
      <c r="AO2" s="1">
        <f>(T2*3.7)+T2</f>
        <v>156.97999999999999</v>
      </c>
      <c r="AP2" s="1">
        <f>(U2*3.95)+U2</f>
        <v>168.79500000000002</v>
      </c>
    </row>
    <row r="3" spans="1:42" x14ac:dyDescent="0.2">
      <c r="A3" s="8" t="s">
        <v>95</v>
      </c>
      <c r="B3" s="1">
        <v>66</v>
      </c>
      <c r="C3" s="1">
        <v>57.7</v>
      </c>
      <c r="D3" s="1">
        <v>22.1</v>
      </c>
      <c r="E3" s="1">
        <v>25.5</v>
      </c>
      <c r="F3" s="1">
        <v>13.8</v>
      </c>
      <c r="G3" s="1">
        <v>10.199999999999999</v>
      </c>
      <c r="H3" s="1">
        <v>11.9</v>
      </c>
      <c r="I3" s="1">
        <v>13.9</v>
      </c>
      <c r="J3" s="1">
        <v>13.8</v>
      </c>
      <c r="K3" s="1">
        <v>14.8</v>
      </c>
      <c r="L3" s="1">
        <v>11.1</v>
      </c>
      <c r="M3" s="1">
        <v>23.7</v>
      </c>
      <c r="N3" s="1">
        <v>23.2</v>
      </c>
      <c r="O3" s="1">
        <v>24</v>
      </c>
      <c r="P3" s="1"/>
      <c r="Q3" s="1"/>
      <c r="R3" s="1"/>
      <c r="S3" s="1"/>
      <c r="T3" s="1"/>
      <c r="U3" s="1"/>
      <c r="W3" s="1">
        <v>66</v>
      </c>
      <c r="X3" s="1">
        <f t="shared" ref="X3" si="0">(C3*0.2)+C3</f>
        <v>69.240000000000009</v>
      </c>
      <c r="Y3" s="1">
        <f t="shared" ref="Y3:Y4" si="1">(D3*0.3)+D3</f>
        <v>28.73</v>
      </c>
      <c r="Z3" s="1">
        <f t="shared" ref="Z3:Z4" si="2">(E3*0.5)+E3</f>
        <v>38.25</v>
      </c>
      <c r="AA3" s="1">
        <f t="shared" ref="AA3:AA4" si="3">(F3*0.7)+F3</f>
        <v>23.46</v>
      </c>
      <c r="AB3" s="1">
        <f t="shared" ref="AB3:AB4" si="4">(G3*0.95)+G3</f>
        <v>19.89</v>
      </c>
      <c r="AC3" s="1">
        <f t="shared" ref="AC3:AC4" si="5">(H3*1.2)+H3</f>
        <v>26.18</v>
      </c>
      <c r="AD3" s="1">
        <f t="shared" ref="AD3:AD4" si="6">(I3*1.45)+I3</f>
        <v>34.055</v>
      </c>
      <c r="AE3" s="1">
        <f t="shared" ref="AE3:AE4" si="7">(J3*1.65)+J3</f>
        <v>36.57</v>
      </c>
      <c r="AF3" s="1">
        <f t="shared" ref="AF3:AF4" si="8">(K3*1.9)+K3</f>
        <v>42.92</v>
      </c>
      <c r="AG3" s="1">
        <f t="shared" ref="AG3:AG4" si="9">(L3*2.15)+L3</f>
        <v>34.964999999999996</v>
      </c>
      <c r="AH3" s="1">
        <f t="shared" ref="AH3:AH4" si="10">(M3*2.4)+M3</f>
        <v>80.58</v>
      </c>
      <c r="AI3" s="1">
        <f t="shared" ref="AI3:AI4" si="11">(N3*2.65)+N3</f>
        <v>84.679999999999993</v>
      </c>
      <c r="AJ3" s="1">
        <f>(O3*2.8)+O3</f>
        <v>91.199999999999989</v>
      </c>
      <c r="AK3" s="1"/>
      <c r="AL3" s="1"/>
      <c r="AM3" s="1"/>
    </row>
    <row r="4" spans="1:42" x14ac:dyDescent="0.2">
      <c r="A4" s="8" t="s">
        <v>1290</v>
      </c>
      <c r="B4" s="1"/>
      <c r="C4" s="1"/>
      <c r="D4" s="3">
        <v>29.3</v>
      </c>
      <c r="E4" s="1">
        <v>31.6</v>
      </c>
      <c r="F4" s="1">
        <v>26</v>
      </c>
      <c r="G4" s="1">
        <v>24.1</v>
      </c>
      <c r="H4" s="1">
        <v>22.8</v>
      </c>
      <c r="I4" s="1">
        <v>23.6</v>
      </c>
      <c r="J4" s="1">
        <v>25.1</v>
      </c>
      <c r="K4" s="1">
        <v>24.4</v>
      </c>
      <c r="L4" s="1">
        <v>28.7</v>
      </c>
      <c r="M4" s="1">
        <v>18.600000000000001</v>
      </c>
      <c r="N4" s="1">
        <v>18.600000000000001</v>
      </c>
      <c r="P4" s="1"/>
      <c r="Q4" s="1"/>
      <c r="R4" s="1"/>
      <c r="S4" s="1"/>
      <c r="T4" s="1"/>
      <c r="U4" s="1"/>
      <c r="W4" s="1"/>
      <c r="X4" s="1"/>
      <c r="Y4" s="1">
        <f t="shared" si="1"/>
        <v>38.090000000000003</v>
      </c>
      <c r="Z4" s="1">
        <f t="shared" si="2"/>
        <v>47.400000000000006</v>
      </c>
      <c r="AA4" s="1">
        <f t="shared" si="3"/>
        <v>44.2</v>
      </c>
      <c r="AB4" s="1">
        <f t="shared" si="4"/>
        <v>46.995000000000005</v>
      </c>
      <c r="AC4" s="1">
        <f t="shared" si="5"/>
        <v>50.16</v>
      </c>
      <c r="AD4" s="1">
        <f t="shared" si="6"/>
        <v>57.82</v>
      </c>
      <c r="AE4" s="1">
        <f t="shared" si="7"/>
        <v>66.515000000000001</v>
      </c>
      <c r="AF4" s="1">
        <f t="shared" si="8"/>
        <v>70.759999999999991</v>
      </c>
      <c r="AG4" s="1">
        <f t="shared" si="9"/>
        <v>90.405000000000001</v>
      </c>
      <c r="AH4" s="1">
        <f t="shared" si="10"/>
        <v>63.24</v>
      </c>
      <c r="AI4" s="1">
        <f t="shared" si="11"/>
        <v>67.89</v>
      </c>
      <c r="AJ4" s="1"/>
      <c r="AK4" s="1"/>
      <c r="AL4" s="1"/>
      <c r="AM4" s="1"/>
    </row>
    <row r="5" spans="1:42" x14ac:dyDescent="0.2">
      <c r="A5" s="8" t="s">
        <v>1289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>
        <v>20.6</v>
      </c>
      <c r="P5" s="1"/>
      <c r="Q5" s="1"/>
      <c r="R5" s="1"/>
      <c r="S5" s="1"/>
      <c r="T5" s="1"/>
      <c r="U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>
        <v>20.6</v>
      </c>
      <c r="AK5" s="1"/>
      <c r="AL5" s="1"/>
      <c r="AM5" s="1"/>
    </row>
    <row r="6" spans="1:42" x14ac:dyDescent="0.2">
      <c r="A6" s="8" t="s">
        <v>1291</v>
      </c>
      <c r="B6" s="1"/>
      <c r="C6" s="1"/>
      <c r="D6" s="1"/>
      <c r="E6" s="1">
        <v>4.7</v>
      </c>
      <c r="F6" s="1">
        <v>15.9</v>
      </c>
      <c r="G6" s="1">
        <v>16.7</v>
      </c>
      <c r="H6" s="1">
        <v>18</v>
      </c>
      <c r="I6" s="1">
        <v>15.4</v>
      </c>
      <c r="J6" s="1">
        <v>11.1</v>
      </c>
      <c r="K6" s="1">
        <v>13.9</v>
      </c>
      <c r="L6" s="1">
        <v>13.6</v>
      </c>
      <c r="M6" s="1"/>
      <c r="N6" s="1"/>
      <c r="O6" s="1"/>
      <c r="P6" s="1"/>
      <c r="Q6" s="1"/>
      <c r="R6" s="1"/>
      <c r="S6" s="1"/>
      <c r="T6" s="1"/>
      <c r="U6" s="1"/>
      <c r="W6" s="1"/>
      <c r="X6" s="1"/>
      <c r="Y6" s="1"/>
      <c r="Z6" s="1">
        <v>4.7</v>
      </c>
      <c r="AA6" s="1">
        <f>(F6*0.2)+F6</f>
        <v>19.080000000000002</v>
      </c>
      <c r="AB6" s="1">
        <f>(G6*0.45)+G6</f>
        <v>24.215</v>
      </c>
      <c r="AC6" s="1">
        <f>(H6*0.7)+H6</f>
        <v>30.6</v>
      </c>
      <c r="AD6" s="1">
        <f>(I6*0.95)+I6</f>
        <v>30.03</v>
      </c>
      <c r="AE6" s="1">
        <f>(J6*1.15)+J6</f>
        <v>23.864999999999998</v>
      </c>
      <c r="AF6" s="1">
        <f>(K6*1.4)+K6</f>
        <v>33.36</v>
      </c>
      <c r="AG6" s="1">
        <f>(L6*1.65)+L6</f>
        <v>36.04</v>
      </c>
      <c r="AH6" s="1"/>
      <c r="AI6" s="1"/>
      <c r="AJ6" s="1"/>
      <c r="AK6" s="1"/>
      <c r="AL6" s="1"/>
      <c r="AM6" s="1"/>
    </row>
    <row r="7" spans="1:42" x14ac:dyDescent="0.2">
      <c r="A7" s="8" t="s">
        <v>1292</v>
      </c>
      <c r="B7" s="1"/>
      <c r="C7" s="1"/>
      <c r="D7" s="1"/>
      <c r="J7" s="1">
        <v>4.2</v>
      </c>
      <c r="K7" s="1">
        <v>2.9</v>
      </c>
      <c r="L7" s="1">
        <v>1.1000000000000001</v>
      </c>
      <c r="M7" s="1"/>
      <c r="N7" s="1"/>
      <c r="O7" s="1"/>
      <c r="P7" s="1"/>
      <c r="Q7" s="1"/>
      <c r="R7" s="1"/>
      <c r="S7" s="1"/>
      <c r="T7" s="1"/>
      <c r="U7" s="1"/>
      <c r="W7" s="1"/>
      <c r="X7" s="1"/>
      <c r="Y7" s="1"/>
      <c r="AD7" s="1"/>
      <c r="AE7" s="1">
        <v>4.2</v>
      </c>
      <c r="AF7" s="1">
        <f>(K6*0.25)+K6</f>
        <v>17.375</v>
      </c>
      <c r="AG7" s="1">
        <f>(L6*0.5)+L6</f>
        <v>20.399999999999999</v>
      </c>
      <c r="AH7" s="1"/>
      <c r="AI7" s="1"/>
      <c r="AJ7" s="1"/>
      <c r="AK7" s="1"/>
      <c r="AL7" s="1"/>
      <c r="AM7" s="1"/>
    </row>
    <row r="8" spans="1:42" x14ac:dyDescent="0.2">
      <c r="A8" s="8" t="s">
        <v>344</v>
      </c>
      <c r="B8" s="8"/>
      <c r="C8" s="1"/>
      <c r="D8" s="1"/>
      <c r="E8" s="1"/>
      <c r="F8" s="1"/>
      <c r="G8" s="1"/>
      <c r="H8" s="1"/>
      <c r="I8" s="1">
        <v>3</v>
      </c>
      <c r="J8" s="1">
        <v>2.8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1"/>
      <c r="X8" s="1"/>
      <c r="Y8" s="1"/>
      <c r="Z8" s="1"/>
      <c r="AA8" s="1"/>
      <c r="AB8" s="1"/>
      <c r="AC8" s="1"/>
      <c r="AD8" s="1">
        <v>3</v>
      </c>
      <c r="AE8" s="1">
        <f>(J8*0.2)+J8</f>
        <v>3.36</v>
      </c>
      <c r="AF8" s="1"/>
      <c r="AG8" s="1"/>
      <c r="AH8" s="1"/>
      <c r="AI8" s="1"/>
      <c r="AJ8" s="1"/>
      <c r="AK8" s="1"/>
      <c r="AL8" s="1"/>
      <c r="AM8" s="1"/>
    </row>
    <row r="9" spans="1:42" x14ac:dyDescent="0.2">
      <c r="A9" s="8" t="s">
        <v>666</v>
      </c>
      <c r="B9" s="1"/>
      <c r="C9" s="1"/>
      <c r="D9" s="1"/>
      <c r="E9" s="1"/>
      <c r="F9" s="1"/>
      <c r="G9" s="1"/>
      <c r="H9" s="1"/>
      <c r="I9" s="1"/>
      <c r="M9" s="1"/>
      <c r="N9" s="1">
        <v>4.2</v>
      </c>
      <c r="O9" s="1"/>
      <c r="P9" s="1"/>
      <c r="Q9" s="1"/>
      <c r="R9" s="1"/>
      <c r="S9" s="1"/>
      <c r="T9" s="1"/>
      <c r="U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>
        <v>4.2</v>
      </c>
      <c r="AJ9" s="1"/>
      <c r="AK9" s="1"/>
      <c r="AL9" s="1"/>
      <c r="AM9" s="1"/>
    </row>
    <row r="10" spans="1:42" x14ac:dyDescent="0.2">
      <c r="A10" s="8" t="s">
        <v>667</v>
      </c>
      <c r="B10" s="1"/>
      <c r="C10" s="1"/>
      <c r="D10" s="3">
        <v>5.6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W10" s="1"/>
      <c r="X10" s="1"/>
      <c r="Y10" s="1">
        <f>(D10*0.1)+D10</f>
        <v>6.1599999999999993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42" x14ac:dyDescent="0.2">
      <c r="A11" s="8" t="s">
        <v>665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v>5.3</v>
      </c>
      <c r="N11" s="1"/>
      <c r="O11" s="1"/>
      <c r="P11" s="1"/>
      <c r="Q11" s="1"/>
      <c r="R11" s="1"/>
      <c r="S11" s="1"/>
      <c r="T11" s="1"/>
      <c r="U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>
        <v>5.3</v>
      </c>
      <c r="AI11" s="1"/>
      <c r="AJ11" s="1"/>
      <c r="AK11" s="1"/>
      <c r="AL11" s="1"/>
      <c r="AM11" s="1"/>
    </row>
    <row r="12" spans="1:42" x14ac:dyDescent="0.2">
      <c r="A12" s="8" t="s">
        <v>1294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3.4</v>
      </c>
      <c r="N12" s="1">
        <v>3.3</v>
      </c>
      <c r="O12" s="1">
        <v>3.4</v>
      </c>
      <c r="P12" s="1"/>
      <c r="Q12" s="1"/>
      <c r="R12" s="1"/>
      <c r="S12" s="1"/>
      <c r="T12" s="1"/>
      <c r="U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>
        <v>3.4</v>
      </c>
      <c r="AI12" s="1">
        <f>(N12*0.25)+N12</f>
        <v>4.125</v>
      </c>
      <c r="AJ12" s="1">
        <f>(O12*0.4)+O12</f>
        <v>4.76</v>
      </c>
      <c r="AK12" s="1"/>
      <c r="AL12" s="1"/>
      <c r="AM12" s="1"/>
    </row>
    <row r="13" spans="1:42" x14ac:dyDescent="0.2">
      <c r="A13" s="8" t="s">
        <v>96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P13" s="1">
        <v>8.6999999999999993</v>
      </c>
      <c r="Q13" s="1">
        <v>8.6</v>
      </c>
      <c r="R13" s="1">
        <v>9.1</v>
      </c>
      <c r="S13" s="1">
        <v>12.1</v>
      </c>
      <c r="T13" s="1"/>
      <c r="U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K13" s="1">
        <v>8.6999999999999993</v>
      </c>
      <c r="AL13" s="1">
        <f>(Q13*0.1)+Q13</f>
        <v>9.4599999999999991</v>
      </c>
      <c r="AM13" s="1">
        <f>(R13*0.3)+R13</f>
        <v>11.83</v>
      </c>
      <c r="AN13" s="1">
        <f>(S13*0.5)+S13</f>
        <v>18.149999999999999</v>
      </c>
      <c r="AO13" s="1"/>
    </row>
    <row r="14" spans="1:42" x14ac:dyDescent="0.2">
      <c r="A14" s="8" t="s">
        <v>97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7.7</v>
      </c>
      <c r="N14" s="1">
        <v>9.8000000000000007</v>
      </c>
      <c r="O14" s="1">
        <v>9</v>
      </c>
      <c r="P14" s="1">
        <v>12.1</v>
      </c>
      <c r="Q14" s="1">
        <v>11.5</v>
      </c>
      <c r="R14" s="1">
        <v>6.7</v>
      </c>
      <c r="S14" s="1">
        <v>9.6</v>
      </c>
      <c r="T14" s="1"/>
      <c r="U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>
        <v>7.7</v>
      </c>
      <c r="AI14" s="1">
        <f>(N14*0.25)+N14</f>
        <v>12.25</v>
      </c>
      <c r="AJ14" s="1">
        <f>(O14*0.4)+O14</f>
        <v>12.6</v>
      </c>
      <c r="AK14" s="1">
        <f>(P14*0.65)+P14</f>
        <v>19.965</v>
      </c>
      <c r="AL14" s="1">
        <f>(Q14*0.75)+Q14</f>
        <v>20.125</v>
      </c>
      <c r="AM14" s="1">
        <f>(R14*0.95)+R14</f>
        <v>13.065000000000001</v>
      </c>
      <c r="AN14" s="1">
        <f>(S14*1.15)+S14</f>
        <v>20.64</v>
      </c>
    </row>
    <row r="15" spans="1:42" x14ac:dyDescent="0.2">
      <c r="A15" s="8" t="s">
        <v>286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>
        <v>10.3</v>
      </c>
      <c r="U15" s="1">
        <v>12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>
        <v>10.3</v>
      </c>
      <c r="AP15" s="1">
        <f>(U15*0.25)+U15</f>
        <v>15</v>
      </c>
    </row>
    <row r="16" spans="1:42" x14ac:dyDescent="0.2">
      <c r="A16" s="8" t="s">
        <v>1417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v>6.2</v>
      </c>
      <c r="U16" s="1">
        <v>8.5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>
        <v>6.2</v>
      </c>
      <c r="AP16" s="1">
        <f>(U16*0.25)+U16</f>
        <v>10.625</v>
      </c>
    </row>
    <row r="17" spans="1:42" x14ac:dyDescent="0.2">
      <c r="A17" s="8" t="s">
        <v>221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>
        <v>7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>
        <v>7</v>
      </c>
    </row>
    <row r="18" spans="1:42" x14ac:dyDescent="0.2">
      <c r="A18" s="8" t="s">
        <v>1540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>
        <v>4.7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>
        <v>4.7</v>
      </c>
    </row>
    <row r="19" spans="1:42" x14ac:dyDescent="0.2">
      <c r="A19" s="8" t="s">
        <v>1541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>
        <v>16.5</v>
      </c>
      <c r="U19" s="1">
        <v>15.8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>
        <v>16.5</v>
      </c>
      <c r="AP19" s="1">
        <f>(U19*0.25)+U19</f>
        <v>19.75</v>
      </c>
    </row>
    <row r="20" spans="1:42" x14ac:dyDescent="0.2">
      <c r="A20" s="8" t="s">
        <v>1288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v>5.4</v>
      </c>
      <c r="Q20" s="1">
        <v>6.3</v>
      </c>
      <c r="T20" s="1"/>
      <c r="U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>
        <v>5.4</v>
      </c>
      <c r="AL20" s="1">
        <f>(Q20*0.75)+Q20</f>
        <v>11.024999999999999</v>
      </c>
    </row>
    <row r="21" spans="1:42" x14ac:dyDescent="0.2">
      <c r="A21" s="8" t="s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>
        <v>12.1</v>
      </c>
      <c r="S21" s="1">
        <v>7.7</v>
      </c>
      <c r="T21" s="1"/>
      <c r="U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>
        <v>12.1</v>
      </c>
      <c r="AN21" s="1">
        <f>(S21*0.2)+S21</f>
        <v>9.24</v>
      </c>
    </row>
    <row r="22" spans="1:42" x14ac:dyDescent="0.2">
      <c r="A22" s="8" t="s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v>31.8</v>
      </c>
      <c r="Q22" s="1">
        <v>32</v>
      </c>
      <c r="R22" s="1">
        <v>14.3</v>
      </c>
      <c r="S22" s="1">
        <v>7.2</v>
      </c>
      <c r="T22" s="1">
        <v>13.1</v>
      </c>
      <c r="U22" s="1">
        <v>12.2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>
        <v>31.8</v>
      </c>
      <c r="AL22" s="1">
        <f>(Q22*0.1)+Q22</f>
        <v>35.200000000000003</v>
      </c>
      <c r="AM22" s="1">
        <f>(R22*0.3)+R22</f>
        <v>18.59</v>
      </c>
      <c r="AN22" s="1">
        <f>(S22*0.5)+S22</f>
        <v>10.8</v>
      </c>
      <c r="AO22" s="1">
        <f>(T22*0.65)+T22</f>
        <v>21.615000000000002</v>
      </c>
      <c r="AP22" s="1">
        <f>(U22*0.9)+U22</f>
        <v>23.18</v>
      </c>
    </row>
    <row r="23" spans="1:42" x14ac:dyDescent="0.2">
      <c r="A23" s="8" t="s">
        <v>93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R23" s="1">
        <v>8.4</v>
      </c>
      <c r="S23" s="1"/>
      <c r="T23" s="1"/>
      <c r="U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>
        <v>8.4</v>
      </c>
    </row>
    <row r="24" spans="1:42" x14ac:dyDescent="0.2">
      <c r="A24" s="8" t="s">
        <v>1293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v>4.9000000000000004</v>
      </c>
      <c r="R24" s="1"/>
      <c r="S24" s="1"/>
      <c r="T24" s="1"/>
      <c r="U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>
        <v>4.9000000000000004</v>
      </c>
      <c r="AM24" s="1"/>
    </row>
    <row r="25" spans="1:42" x14ac:dyDescent="0.2">
      <c r="A25" s="8" t="s">
        <v>663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>
        <v>6.7</v>
      </c>
      <c r="S25" s="1">
        <v>9.3000000000000007</v>
      </c>
      <c r="T25" s="1"/>
      <c r="U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>
        <v>6.7</v>
      </c>
      <c r="AN25" s="1">
        <f>(S25*0.2)+S25</f>
        <v>11.16</v>
      </c>
    </row>
    <row r="26" spans="1:42" x14ac:dyDescent="0.2">
      <c r="A26" s="8" t="s">
        <v>664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>
        <v>6.3</v>
      </c>
      <c r="S26" s="1">
        <v>18.3</v>
      </c>
      <c r="T26" s="1">
        <v>18.2</v>
      </c>
      <c r="U26" s="1">
        <v>5.0999999999999996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6.3</v>
      </c>
      <c r="AN26" s="1">
        <f>(S26*0.2)+S26</f>
        <v>21.96</v>
      </c>
      <c r="AO26" s="1">
        <f>(T26*0.35)+T26</f>
        <v>24.57</v>
      </c>
      <c r="AP26" s="1">
        <f>(U26*0.6)+U26</f>
        <v>8.16</v>
      </c>
    </row>
    <row r="27" spans="1:42" x14ac:dyDescent="0.2">
      <c r="A27" s="8" t="s">
        <v>1328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>
        <v>4.5</v>
      </c>
      <c r="T27" s="1"/>
      <c r="U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>
        <v>4.5</v>
      </c>
    </row>
    <row r="28" spans="1:42" x14ac:dyDescent="0.2">
      <c r="A28" s="8" t="s">
        <v>1287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>
        <v>4.2</v>
      </c>
      <c r="R28" s="1">
        <v>1.7</v>
      </c>
      <c r="S28" s="1"/>
      <c r="T28" s="1"/>
      <c r="U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>
        <v>4.2</v>
      </c>
      <c r="AM28" s="1">
        <f>(R28*0.2)+R28</f>
        <v>2.04</v>
      </c>
    </row>
    <row r="29" spans="1:42" x14ac:dyDescent="0.2">
      <c r="V29" s="3" t="s">
        <v>14</v>
      </c>
      <c r="W29" s="1">
        <f t="shared" ref="W29:AP29" si="12">SUM(W2:W28)</f>
        <v>100</v>
      </c>
      <c r="X29" s="1">
        <f t="shared" si="12"/>
        <v>120</v>
      </c>
      <c r="Y29" s="1">
        <f t="shared" si="12"/>
        <v>128.88</v>
      </c>
      <c r="Z29" s="1">
        <f t="shared" si="12"/>
        <v>147.65</v>
      </c>
      <c r="AA29" s="1">
        <f t="shared" si="12"/>
        <v>162.04999999999998</v>
      </c>
      <c r="AB29" s="1">
        <f t="shared" si="12"/>
        <v>182.35999999999999</v>
      </c>
      <c r="AC29" s="1">
        <f t="shared" si="12"/>
        <v>203.73999999999998</v>
      </c>
      <c r="AD29" s="1">
        <f t="shared" si="12"/>
        <v>221.92500000000001</v>
      </c>
      <c r="AE29" s="1">
        <f t="shared" si="12"/>
        <v>246.60500000000002</v>
      </c>
      <c r="AF29" s="1">
        <f t="shared" si="12"/>
        <v>286.505</v>
      </c>
      <c r="AG29" s="1">
        <f t="shared" si="12"/>
        <v>320.72499999999997</v>
      </c>
      <c r="AH29" s="1">
        <f t="shared" si="12"/>
        <v>300.97999999999996</v>
      </c>
      <c r="AI29" s="1">
        <f t="shared" si="12"/>
        <v>322.42999999999995</v>
      </c>
      <c r="AJ29" s="1">
        <f t="shared" si="12"/>
        <v>285.34000000000003</v>
      </c>
      <c r="AK29" s="1">
        <f t="shared" si="12"/>
        <v>199.10999999999999</v>
      </c>
      <c r="AL29" s="1">
        <f t="shared" si="12"/>
        <v>217.29499999999999</v>
      </c>
      <c r="AM29" s="1">
        <f t="shared" si="12"/>
        <v>207.35</v>
      </c>
      <c r="AN29" s="1">
        <f t="shared" si="12"/>
        <v>207.92500000000001</v>
      </c>
      <c r="AO29" s="1">
        <f t="shared" si="12"/>
        <v>236.16499999999999</v>
      </c>
      <c r="AP29" s="1">
        <f t="shared" si="12"/>
        <v>257.21000000000004</v>
      </c>
    </row>
    <row r="31" spans="1:42" x14ac:dyDescent="0.2">
      <c r="W31" s="1">
        <v>100</v>
      </c>
      <c r="X31" s="1">
        <v>120</v>
      </c>
      <c r="Y31" s="1">
        <v>130</v>
      </c>
      <c r="Z31" s="1">
        <v>150</v>
      </c>
      <c r="AA31" s="1">
        <v>170</v>
      </c>
      <c r="AB31" s="1">
        <v>195</v>
      </c>
      <c r="AC31" s="1">
        <v>220</v>
      </c>
      <c r="AD31" s="1">
        <v>245</v>
      </c>
      <c r="AE31" s="1">
        <v>265</v>
      </c>
      <c r="AF31" s="1">
        <v>290</v>
      </c>
      <c r="AG31" s="1">
        <v>315</v>
      </c>
      <c r="AH31" s="1">
        <v>340</v>
      </c>
      <c r="AI31" s="1">
        <v>365</v>
      </c>
      <c r="AJ31" s="1">
        <v>380</v>
      </c>
      <c r="AK31" s="1">
        <v>405</v>
      </c>
      <c r="AL31" s="1">
        <v>415</v>
      </c>
      <c r="AM31" s="1">
        <v>435</v>
      </c>
      <c r="AN31" s="1">
        <v>455</v>
      </c>
      <c r="AO31" s="1">
        <v>470</v>
      </c>
      <c r="AP31" s="1">
        <v>495</v>
      </c>
    </row>
    <row r="33" spans="1:42" x14ac:dyDescent="0.2">
      <c r="W33" s="1">
        <f>W29</f>
        <v>100</v>
      </c>
      <c r="X33" s="1">
        <f>SUM(W33+X29)</f>
        <v>220</v>
      </c>
      <c r="Y33" s="1">
        <f>SUM(X33+Y29)</f>
        <v>348.88</v>
      </c>
      <c r="Z33" s="1">
        <f>SUM(Y33+Z29)</f>
        <v>496.53</v>
      </c>
      <c r="AA33" s="1">
        <f t="shared" ref="AA33:AJ33" si="13">SUM(Z33+AA29)</f>
        <v>658.57999999999993</v>
      </c>
      <c r="AB33" s="1">
        <f t="shared" si="13"/>
        <v>840.93999999999994</v>
      </c>
      <c r="AC33" s="1">
        <f t="shared" si="13"/>
        <v>1044.6799999999998</v>
      </c>
      <c r="AD33" s="1">
        <f t="shared" si="13"/>
        <v>1266.6049999999998</v>
      </c>
      <c r="AE33" s="1">
        <f t="shared" si="13"/>
        <v>1513.2099999999998</v>
      </c>
      <c r="AF33" s="1">
        <f t="shared" si="13"/>
        <v>1799.7149999999997</v>
      </c>
      <c r="AG33" s="1">
        <f t="shared" si="13"/>
        <v>2120.4399999999996</v>
      </c>
      <c r="AH33" s="1">
        <f t="shared" si="13"/>
        <v>2421.4199999999996</v>
      </c>
      <c r="AI33" s="1">
        <f t="shared" si="13"/>
        <v>2743.8499999999995</v>
      </c>
      <c r="AJ33" s="1">
        <f t="shared" si="13"/>
        <v>3029.1899999999996</v>
      </c>
      <c r="AK33" s="1">
        <f t="shared" ref="AK33" si="14">SUM(AJ33+AK29)</f>
        <v>3228.2999999999997</v>
      </c>
      <c r="AL33" s="1">
        <f t="shared" ref="AL33:AP33" si="15">SUM(AK33+AL29)</f>
        <v>3445.5949999999998</v>
      </c>
      <c r="AM33" s="1">
        <f t="shared" si="15"/>
        <v>3652.9449999999997</v>
      </c>
      <c r="AN33" s="1">
        <f t="shared" si="15"/>
        <v>3860.87</v>
      </c>
      <c r="AO33" s="1">
        <f t="shared" si="15"/>
        <v>4097.0349999999999</v>
      </c>
      <c r="AP33" s="1">
        <f t="shared" si="15"/>
        <v>4354.2449999999999</v>
      </c>
    </row>
    <row r="34" spans="1:42" x14ac:dyDescent="0.2">
      <c r="W34" s="3"/>
      <c r="X34" s="3"/>
      <c r="Y34" s="3"/>
      <c r="Z34" s="3"/>
      <c r="AA34" s="1"/>
      <c r="AB34" s="1"/>
      <c r="AC34" s="1"/>
      <c r="AD34" s="1"/>
      <c r="AE34" s="1"/>
      <c r="AF34" s="1"/>
      <c r="AG34" s="6"/>
      <c r="AH34" s="6"/>
      <c r="AI34" s="1"/>
    </row>
    <row r="35" spans="1:42" x14ac:dyDescent="0.2">
      <c r="W35" s="1">
        <v>100</v>
      </c>
      <c r="X35" s="1">
        <f>SUM(W35+X31)</f>
        <v>220</v>
      </c>
      <c r="Y35" s="1">
        <f>SUM(X35+Y31)</f>
        <v>350</v>
      </c>
      <c r="Z35" s="1">
        <f>SUM(Y35+Z31)</f>
        <v>500</v>
      </c>
      <c r="AA35" s="1">
        <f t="shared" ref="AA35:AJ35" si="16">SUM(Z35+AA31)</f>
        <v>670</v>
      </c>
      <c r="AB35" s="1">
        <f t="shared" si="16"/>
        <v>865</v>
      </c>
      <c r="AC35" s="1">
        <f t="shared" si="16"/>
        <v>1085</v>
      </c>
      <c r="AD35" s="1">
        <f t="shared" si="16"/>
        <v>1330</v>
      </c>
      <c r="AE35" s="1">
        <f t="shared" si="16"/>
        <v>1595</v>
      </c>
      <c r="AF35" s="1">
        <f t="shared" si="16"/>
        <v>1885</v>
      </c>
      <c r="AG35" s="1">
        <f t="shared" si="16"/>
        <v>2200</v>
      </c>
      <c r="AH35" s="1">
        <f t="shared" si="16"/>
        <v>2540</v>
      </c>
      <c r="AI35" s="1">
        <f t="shared" si="16"/>
        <v>2905</v>
      </c>
      <c r="AJ35" s="1">
        <f t="shared" si="16"/>
        <v>3285</v>
      </c>
      <c r="AK35" s="1">
        <f t="shared" ref="AK35" si="17">SUM(AJ35+AK31)</f>
        <v>3690</v>
      </c>
      <c r="AL35" s="1">
        <f t="shared" ref="AL35:AP35" si="18">SUM(AK35+AL31)</f>
        <v>4105</v>
      </c>
      <c r="AM35" s="1">
        <f t="shared" si="18"/>
        <v>4540</v>
      </c>
      <c r="AN35" s="1">
        <f t="shared" si="18"/>
        <v>4995</v>
      </c>
      <c r="AO35" s="1">
        <f t="shared" si="18"/>
        <v>5465</v>
      </c>
      <c r="AP35" s="1">
        <f t="shared" si="18"/>
        <v>5960</v>
      </c>
    </row>
    <row r="36" spans="1:42" x14ac:dyDescent="0.2">
      <c r="A36" s="1"/>
      <c r="B36" s="12"/>
      <c r="C36" s="12"/>
    </row>
    <row r="37" spans="1:42" x14ac:dyDescent="0.2">
      <c r="A37" s="1"/>
      <c r="B37" s="12"/>
      <c r="C37" s="12"/>
      <c r="W37" s="4" t="s">
        <v>1563</v>
      </c>
      <c r="X37" s="4" t="s">
        <v>1563</v>
      </c>
      <c r="Y37" s="4" t="s">
        <v>1563</v>
      </c>
      <c r="Z37" s="4" t="s">
        <v>1563</v>
      </c>
      <c r="AA37" s="4" t="s">
        <v>1563</v>
      </c>
      <c r="AB37" s="4" t="s">
        <v>1563</v>
      </c>
      <c r="AC37" s="4" t="s">
        <v>1563</v>
      </c>
      <c r="AD37" s="4" t="s">
        <v>1563</v>
      </c>
      <c r="AE37" s="4" t="s">
        <v>1563</v>
      </c>
      <c r="AF37" s="4" t="s">
        <v>1563</v>
      </c>
      <c r="AG37" s="4" t="s">
        <v>1563</v>
      </c>
      <c r="AH37" s="4" t="s">
        <v>1563</v>
      </c>
      <c r="AI37" s="4" t="s">
        <v>1563</v>
      </c>
      <c r="AJ37" s="4" t="s">
        <v>1563</v>
      </c>
      <c r="AK37" s="4" t="s">
        <v>1563</v>
      </c>
      <c r="AL37" s="4" t="s">
        <v>1563</v>
      </c>
      <c r="AM37" s="4" t="s">
        <v>1563</v>
      </c>
      <c r="AN37" s="4" t="s">
        <v>1563</v>
      </c>
      <c r="AO37" s="4" t="s">
        <v>1563</v>
      </c>
      <c r="AP37" s="4" t="s">
        <v>1563</v>
      </c>
    </row>
    <row r="38" spans="1:42" x14ac:dyDescent="0.2">
      <c r="A38" s="1"/>
      <c r="B38" s="12"/>
      <c r="C38" s="12"/>
      <c r="W38" s="6">
        <f>(W33/W35)*100</f>
        <v>100</v>
      </c>
      <c r="X38" s="6">
        <f>(X33/X35)*100</f>
        <v>100</v>
      </c>
      <c r="Y38" s="6">
        <f>(Y33/Y35)*100</f>
        <v>99.68</v>
      </c>
      <c r="Z38" s="6">
        <f>(Z33/Z35)*100</f>
        <v>99.305999999999997</v>
      </c>
      <c r="AA38" s="6">
        <f t="shared" ref="AA38:AP38" si="19">(AA33/AA35)*100</f>
        <v>98.29552238805968</v>
      </c>
      <c r="AB38" s="6">
        <f t="shared" si="19"/>
        <v>97.218497109826586</v>
      </c>
      <c r="AC38" s="6">
        <f t="shared" si="19"/>
        <v>96.283870967741919</v>
      </c>
      <c r="AD38" s="6">
        <f t="shared" si="19"/>
        <v>95.233458646616526</v>
      </c>
      <c r="AE38" s="6">
        <f t="shared" si="19"/>
        <v>94.872100313479606</v>
      </c>
      <c r="AF38" s="6">
        <f t="shared" si="19"/>
        <v>95.475596816976122</v>
      </c>
      <c r="AG38" s="6">
        <f t="shared" si="19"/>
        <v>96.383636363636356</v>
      </c>
      <c r="AH38" s="6">
        <f t="shared" si="19"/>
        <v>95.331496062992116</v>
      </c>
      <c r="AI38" s="6">
        <f t="shared" si="19"/>
        <v>94.452667814113582</v>
      </c>
      <c r="AJ38" s="6">
        <f t="shared" si="19"/>
        <v>92.212785388127841</v>
      </c>
      <c r="AK38" s="6">
        <f t="shared" si="19"/>
        <v>87.487804878048763</v>
      </c>
      <c r="AL38" s="6">
        <f t="shared" si="19"/>
        <v>83.936540803897685</v>
      </c>
      <c r="AM38" s="6">
        <f t="shared" si="19"/>
        <v>80.461343612334787</v>
      </c>
      <c r="AN38" s="6">
        <f t="shared" si="19"/>
        <v>77.294694694694684</v>
      </c>
      <c r="AO38" s="6">
        <f t="shared" si="19"/>
        <v>74.968618481244278</v>
      </c>
      <c r="AP38" s="6">
        <f t="shared" si="19"/>
        <v>73.057802013422815</v>
      </c>
    </row>
    <row r="39" spans="1:42" x14ac:dyDescent="0.2">
      <c r="A39" s="1"/>
      <c r="B39" s="12"/>
      <c r="C39" s="12"/>
    </row>
    <row r="40" spans="1:42" x14ac:dyDescent="0.2">
      <c r="A40" s="1"/>
      <c r="B40" s="12"/>
      <c r="C40" s="12"/>
    </row>
    <row r="41" spans="1:42" x14ac:dyDescent="0.2">
      <c r="A41" s="1"/>
      <c r="B41" s="12"/>
      <c r="C41" s="12"/>
    </row>
    <row r="42" spans="1:42" x14ac:dyDescent="0.2">
      <c r="A42" s="1"/>
      <c r="B42" s="12"/>
      <c r="C42" s="12"/>
    </row>
    <row r="43" spans="1:42" x14ac:dyDescent="0.2">
      <c r="A43" s="1"/>
      <c r="B43" s="12"/>
      <c r="C43" s="12"/>
    </row>
    <row r="44" spans="1:42" x14ac:dyDescent="0.2">
      <c r="A44" s="1"/>
      <c r="B44" s="12"/>
      <c r="C44" s="12"/>
    </row>
    <row r="45" spans="1:42" x14ac:dyDescent="0.2">
      <c r="A45" s="1"/>
      <c r="B45" s="12"/>
      <c r="C45" s="12"/>
    </row>
    <row r="46" spans="1:42" x14ac:dyDescent="0.2">
      <c r="A46" s="1"/>
      <c r="B46" s="12"/>
      <c r="C46" s="12"/>
    </row>
    <row r="47" spans="1:42" x14ac:dyDescent="0.2">
      <c r="A47" s="1"/>
      <c r="B47" s="12"/>
      <c r="C47" s="12"/>
    </row>
    <row r="48" spans="1:42" x14ac:dyDescent="0.2">
      <c r="A48" s="1"/>
      <c r="B48" s="12"/>
      <c r="C48" s="12"/>
    </row>
    <row r="49" spans="1:3" x14ac:dyDescent="0.2">
      <c r="A49" s="1"/>
      <c r="B49" s="12"/>
      <c r="C49" s="12"/>
    </row>
    <row r="50" spans="1:3" x14ac:dyDescent="0.2">
      <c r="A50" s="1"/>
      <c r="B50" s="12"/>
      <c r="C50" s="12"/>
    </row>
    <row r="51" spans="1:3" x14ac:dyDescent="0.2">
      <c r="A51" s="1"/>
      <c r="B51" s="12"/>
      <c r="C51" s="12"/>
    </row>
    <row r="52" spans="1:3" x14ac:dyDescent="0.2">
      <c r="A52" s="1"/>
      <c r="B52" s="12"/>
      <c r="C52" s="12"/>
    </row>
    <row r="53" spans="1:3" x14ac:dyDescent="0.2">
      <c r="A53" s="1"/>
      <c r="B53" s="12"/>
      <c r="C53" s="12"/>
    </row>
    <row r="54" spans="1:3" x14ac:dyDescent="0.2">
      <c r="A54" s="1"/>
      <c r="B54" s="12"/>
      <c r="C54" s="12"/>
    </row>
    <row r="55" spans="1:3" x14ac:dyDescent="0.2">
      <c r="A55" s="1"/>
      <c r="B55" s="12"/>
      <c r="C55" s="12"/>
    </row>
    <row r="56" spans="1:3" x14ac:dyDescent="0.2">
      <c r="A56" s="1"/>
      <c r="B56" s="12"/>
      <c r="C56" s="12"/>
    </row>
    <row r="57" spans="1:3" x14ac:dyDescent="0.2">
      <c r="A57" s="1"/>
      <c r="B57" s="12"/>
      <c r="C57" s="12"/>
    </row>
    <row r="58" spans="1:3" x14ac:dyDescent="0.2">
      <c r="A58" s="1"/>
      <c r="B58" s="12"/>
      <c r="C58" s="12"/>
    </row>
    <row r="59" spans="1:3" x14ac:dyDescent="0.2">
      <c r="A59" s="1"/>
      <c r="B59" s="12"/>
      <c r="C59" s="12"/>
    </row>
    <row r="60" spans="1:3" x14ac:dyDescent="0.2">
      <c r="A60" s="1"/>
      <c r="B60" s="12"/>
      <c r="C60" s="12"/>
    </row>
    <row r="61" spans="1:3" x14ac:dyDescent="0.2">
      <c r="A61" s="1"/>
      <c r="B61" s="12"/>
      <c r="C61" s="12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W48"/>
  <sheetViews>
    <sheetView topLeftCell="J1" workbookViewId="0">
      <selection activeCell="N30" sqref="N30:W30"/>
    </sheetView>
  </sheetViews>
  <sheetFormatPr baseColWidth="10" defaultRowHeight="15" x14ac:dyDescent="0.2"/>
  <cols>
    <col min="2" max="2" width="27.1640625" customWidth="1"/>
  </cols>
  <sheetData>
    <row r="1" spans="1:23" x14ac:dyDescent="0.2">
      <c r="A1" s="3" t="s">
        <v>15</v>
      </c>
      <c r="B1" s="33" t="s">
        <v>681</v>
      </c>
      <c r="C1" s="3">
        <v>2000</v>
      </c>
      <c r="D1" s="3">
        <v>2003</v>
      </c>
      <c r="E1" s="3">
        <v>2007</v>
      </c>
      <c r="F1" s="3">
        <v>2008</v>
      </c>
      <c r="G1" s="3">
        <v>2012</v>
      </c>
      <c r="H1" s="3">
        <v>2014</v>
      </c>
      <c r="I1" s="3">
        <v>2016</v>
      </c>
      <c r="J1" s="3">
        <v>2020</v>
      </c>
      <c r="K1" s="3">
        <v>2022</v>
      </c>
      <c r="L1" s="3">
        <v>2023</v>
      </c>
      <c r="N1" s="3">
        <v>2000</v>
      </c>
      <c r="O1" s="3">
        <v>2003</v>
      </c>
      <c r="P1" s="3">
        <v>2007</v>
      </c>
      <c r="Q1" s="3">
        <v>2008</v>
      </c>
      <c r="R1" s="3">
        <v>2012</v>
      </c>
      <c r="S1" s="3">
        <v>2014</v>
      </c>
      <c r="T1" s="3">
        <v>2016</v>
      </c>
      <c r="U1" s="3">
        <v>2020</v>
      </c>
      <c r="V1" s="3">
        <v>2022</v>
      </c>
      <c r="W1" s="3">
        <v>2023</v>
      </c>
    </row>
    <row r="2" spans="1:23" x14ac:dyDescent="0.2">
      <c r="A2" s="8" t="s">
        <v>198</v>
      </c>
      <c r="B2" s="1" t="s">
        <v>744</v>
      </c>
      <c r="C2" s="1">
        <v>64.099999999999994</v>
      </c>
      <c r="D2" s="1">
        <v>12.6</v>
      </c>
      <c r="E2" s="1">
        <v>22.7</v>
      </c>
      <c r="F2" s="1">
        <v>38.4</v>
      </c>
      <c r="G2" s="1">
        <v>22.1</v>
      </c>
      <c r="H2" s="1">
        <v>6</v>
      </c>
      <c r="I2" s="1">
        <v>6</v>
      </c>
      <c r="K2" s="3">
        <v>14.1</v>
      </c>
      <c r="L2" s="1">
        <v>24.3</v>
      </c>
      <c r="N2" s="1">
        <v>64.099999999999994</v>
      </c>
      <c r="O2" s="1">
        <f>(D2*0.15)+D2</f>
        <v>14.49</v>
      </c>
      <c r="P2" s="1">
        <f>(E2*0.35)+E2</f>
        <v>30.645</v>
      </c>
      <c r="Q2" s="1">
        <f>(F2*0.4)+F2</f>
        <v>53.76</v>
      </c>
      <c r="R2" s="1">
        <f>(G2*0.6)+G2</f>
        <v>35.36</v>
      </c>
      <c r="S2" s="1">
        <f>(H2*0.7)+H2</f>
        <v>10.199999999999999</v>
      </c>
      <c r="T2" s="1">
        <f>(I2*0.8)+I2</f>
        <v>10.8</v>
      </c>
      <c r="U2" s="1"/>
      <c r="V2" s="1">
        <f>(K2*1.1)+K2</f>
        <v>29.61</v>
      </c>
      <c r="W2" s="1">
        <f>(L2*1.15)+L2</f>
        <v>52.245000000000005</v>
      </c>
    </row>
    <row r="3" spans="1:23" x14ac:dyDescent="0.2">
      <c r="A3" s="8" t="s">
        <v>199</v>
      </c>
      <c r="B3" s="1" t="s">
        <v>844</v>
      </c>
      <c r="C3" s="1">
        <v>13.8</v>
      </c>
      <c r="D3" s="1">
        <v>7.6</v>
      </c>
      <c r="E3" s="1">
        <v>5.6</v>
      </c>
      <c r="F3" s="1">
        <v>7.6</v>
      </c>
      <c r="G3" s="1">
        <v>14.5</v>
      </c>
      <c r="H3" s="1">
        <v>13.5</v>
      </c>
      <c r="I3" s="1">
        <v>11</v>
      </c>
      <c r="J3" s="1">
        <v>10.4</v>
      </c>
      <c r="K3" s="1">
        <v>11.8</v>
      </c>
      <c r="L3" s="1">
        <v>6.7</v>
      </c>
      <c r="N3" s="1">
        <v>13.8</v>
      </c>
      <c r="O3" s="1">
        <f t="shared" ref="O3:O16" si="0">(D3*0.15)+D3</f>
        <v>8.74</v>
      </c>
      <c r="P3" s="1">
        <f t="shared" ref="P3:P9" si="1">(E3*0.35)+E3</f>
        <v>7.56</v>
      </c>
      <c r="Q3" s="1">
        <f t="shared" ref="Q3:Q9" si="2">(F3*0.4)+F3</f>
        <v>10.64</v>
      </c>
      <c r="R3" s="1">
        <f t="shared" ref="R3:R9" si="3">(G3*0.6)+G3</f>
        <v>23.2</v>
      </c>
      <c r="S3" s="1">
        <f t="shared" ref="S3:S9" si="4">(H3*0.7)+H3</f>
        <v>22.95</v>
      </c>
      <c r="T3" s="1">
        <f t="shared" ref="T3:T4" si="5">(I3*0.8)+I3</f>
        <v>19.8</v>
      </c>
      <c r="U3" s="1">
        <f>(J3*1)+J3</f>
        <v>20.8</v>
      </c>
      <c r="V3" s="1">
        <f t="shared" ref="V3:V9" si="6">(K3*1.1)+K3</f>
        <v>24.78</v>
      </c>
      <c r="W3" s="1">
        <f t="shared" ref="W3:W9" si="7">(L3*1.15)+L3</f>
        <v>14.404999999999999</v>
      </c>
    </row>
    <row r="4" spans="1:23" x14ac:dyDescent="0.2">
      <c r="A4" s="8" t="s">
        <v>201</v>
      </c>
      <c r="B4" s="1" t="s">
        <v>845</v>
      </c>
      <c r="C4" s="1">
        <v>8.6</v>
      </c>
      <c r="D4" s="1">
        <v>27.6</v>
      </c>
      <c r="E4" s="1">
        <v>28.6</v>
      </c>
      <c r="F4" s="1">
        <v>29.5</v>
      </c>
      <c r="G4" s="1">
        <v>4.5999999999999996</v>
      </c>
      <c r="H4" s="1">
        <v>2</v>
      </c>
      <c r="I4" s="1">
        <v>8.1</v>
      </c>
      <c r="J4" s="1">
        <v>2.1</v>
      </c>
      <c r="K4" s="1">
        <v>2.2000000000000002</v>
      </c>
      <c r="L4" s="1">
        <v>1.5</v>
      </c>
      <c r="N4" s="1">
        <v>8.6</v>
      </c>
      <c r="O4" s="1">
        <f t="shared" si="0"/>
        <v>31.740000000000002</v>
      </c>
      <c r="P4" s="1">
        <f t="shared" si="1"/>
        <v>38.61</v>
      </c>
      <c r="Q4" s="1">
        <f t="shared" si="2"/>
        <v>41.3</v>
      </c>
      <c r="R4" s="1">
        <f t="shared" si="3"/>
        <v>7.3599999999999994</v>
      </c>
      <c r="S4" s="1">
        <f t="shared" si="4"/>
        <v>3.4</v>
      </c>
      <c r="T4" s="1">
        <f t="shared" si="5"/>
        <v>14.58</v>
      </c>
      <c r="U4" s="1">
        <f>(J4*1)+J4</f>
        <v>4.2</v>
      </c>
      <c r="V4" s="1">
        <f t="shared" si="6"/>
        <v>4.620000000000001</v>
      </c>
      <c r="W4" s="1">
        <f t="shared" si="7"/>
        <v>3.2249999999999996</v>
      </c>
    </row>
    <row r="5" spans="1:23" x14ac:dyDescent="0.2">
      <c r="A5" s="8" t="s">
        <v>1428</v>
      </c>
      <c r="B5" s="1" t="s">
        <v>1429</v>
      </c>
      <c r="C5" s="1"/>
      <c r="D5" s="1"/>
      <c r="E5" s="1"/>
      <c r="F5" s="1"/>
      <c r="G5" s="1"/>
      <c r="H5" s="1"/>
      <c r="I5" s="1"/>
      <c r="J5" s="1">
        <v>3.8</v>
      </c>
      <c r="K5" s="1"/>
      <c r="L5" s="1"/>
      <c r="N5" s="1"/>
      <c r="O5" s="1"/>
      <c r="P5" s="1"/>
      <c r="Q5" s="1"/>
      <c r="R5" s="1"/>
      <c r="S5" s="1"/>
      <c r="T5" s="1"/>
      <c r="U5" s="1">
        <v>3.8</v>
      </c>
      <c r="V5" s="1"/>
      <c r="W5" s="1"/>
    </row>
    <row r="6" spans="1:23" x14ac:dyDescent="0.2">
      <c r="A6" s="8" t="s">
        <v>204</v>
      </c>
      <c r="B6" s="1" t="s">
        <v>846</v>
      </c>
      <c r="C6" s="1">
        <v>3.8</v>
      </c>
      <c r="D6" s="1">
        <v>7.7</v>
      </c>
      <c r="E6" s="1">
        <v>3.3</v>
      </c>
      <c r="F6" s="1"/>
      <c r="G6" s="1"/>
      <c r="H6" s="1"/>
      <c r="I6" s="1"/>
      <c r="N6" s="1">
        <v>3.8</v>
      </c>
      <c r="O6" s="1">
        <f t="shared" si="0"/>
        <v>8.8550000000000004</v>
      </c>
      <c r="P6" s="1">
        <f t="shared" si="1"/>
        <v>4.4550000000000001</v>
      </c>
      <c r="Q6" s="1"/>
      <c r="R6" s="1"/>
      <c r="S6" s="1"/>
      <c r="V6" s="1"/>
      <c r="W6" s="1"/>
    </row>
    <row r="7" spans="1:23" x14ac:dyDescent="0.2">
      <c r="A7" s="8" t="s">
        <v>575</v>
      </c>
      <c r="B7" s="1" t="s">
        <v>847</v>
      </c>
      <c r="C7" s="1">
        <v>5.3</v>
      </c>
      <c r="D7" s="1">
        <v>1.8</v>
      </c>
      <c r="E7" s="1"/>
      <c r="F7" s="1"/>
      <c r="G7" s="1"/>
      <c r="H7" s="1"/>
      <c r="I7" s="1"/>
      <c r="N7" s="1">
        <v>5.3</v>
      </c>
      <c r="O7" s="1">
        <f t="shared" si="0"/>
        <v>2.0700000000000003</v>
      </c>
      <c r="P7" s="1"/>
      <c r="Q7" s="1"/>
      <c r="R7" s="1"/>
      <c r="S7" s="1"/>
      <c r="V7" s="1"/>
      <c r="W7" s="1"/>
    </row>
    <row r="8" spans="1:23" x14ac:dyDescent="0.2">
      <c r="A8" s="8" t="s">
        <v>200</v>
      </c>
      <c r="B8" s="1" t="s">
        <v>848</v>
      </c>
      <c r="C8" s="1"/>
      <c r="D8" s="3">
        <v>17.7</v>
      </c>
      <c r="E8" s="1">
        <v>16.600000000000001</v>
      </c>
      <c r="F8" s="1">
        <v>11.6</v>
      </c>
      <c r="G8" s="1">
        <v>7</v>
      </c>
      <c r="H8" s="1">
        <v>4.2</v>
      </c>
      <c r="I8" s="1"/>
      <c r="J8" s="3">
        <v>2.2000000000000002</v>
      </c>
      <c r="K8" s="1">
        <v>5.5</v>
      </c>
      <c r="L8" s="1">
        <v>5.2</v>
      </c>
      <c r="N8" s="1"/>
      <c r="O8" s="1">
        <f t="shared" si="0"/>
        <v>20.355</v>
      </c>
      <c r="P8" s="1">
        <f t="shared" si="1"/>
        <v>22.410000000000004</v>
      </c>
      <c r="Q8" s="1">
        <f t="shared" si="2"/>
        <v>16.239999999999998</v>
      </c>
      <c r="R8" s="1">
        <f t="shared" si="3"/>
        <v>11.2</v>
      </c>
      <c r="S8" s="1">
        <f t="shared" si="4"/>
        <v>7.1400000000000006</v>
      </c>
      <c r="U8" s="1">
        <f>(J8*1)+J8</f>
        <v>4.4000000000000004</v>
      </c>
      <c r="V8" s="1">
        <f t="shared" si="6"/>
        <v>11.55</v>
      </c>
      <c r="W8" s="1">
        <f t="shared" si="7"/>
        <v>11.18</v>
      </c>
    </row>
    <row r="9" spans="1:23" x14ac:dyDescent="0.2">
      <c r="A9" s="8" t="s">
        <v>203</v>
      </c>
      <c r="B9" s="1" t="s">
        <v>849</v>
      </c>
      <c r="C9" s="1"/>
      <c r="D9" s="3">
        <v>4.2</v>
      </c>
      <c r="E9" s="1">
        <v>1.3</v>
      </c>
      <c r="F9" s="1">
        <v>1.8</v>
      </c>
      <c r="G9" s="1">
        <v>1.8</v>
      </c>
      <c r="H9" s="1">
        <v>2.1</v>
      </c>
      <c r="I9" s="1">
        <v>1.5</v>
      </c>
      <c r="J9" s="1">
        <v>2.2000000000000002</v>
      </c>
      <c r="K9" s="1">
        <v>1.6</v>
      </c>
      <c r="L9" s="1">
        <v>1.7</v>
      </c>
      <c r="N9" s="1"/>
      <c r="O9" s="1">
        <f t="shared" si="0"/>
        <v>4.83</v>
      </c>
      <c r="P9" s="1">
        <f t="shared" si="1"/>
        <v>1.7549999999999999</v>
      </c>
      <c r="Q9" s="1">
        <f t="shared" si="2"/>
        <v>2.52</v>
      </c>
      <c r="R9" s="1">
        <f t="shared" si="3"/>
        <v>2.88</v>
      </c>
      <c r="S9" s="1">
        <f t="shared" si="4"/>
        <v>3.5700000000000003</v>
      </c>
      <c r="T9" s="1">
        <f>(I9*0.8)+I9</f>
        <v>2.7</v>
      </c>
      <c r="U9" s="1">
        <f>(J9*1)+J9</f>
        <v>4.4000000000000004</v>
      </c>
      <c r="V9" s="1">
        <f t="shared" si="6"/>
        <v>3.3600000000000003</v>
      </c>
      <c r="W9" s="1">
        <f t="shared" si="7"/>
        <v>3.6549999999999998</v>
      </c>
    </row>
    <row r="10" spans="1:23" ht="16" x14ac:dyDescent="0.2">
      <c r="A10" s="8" t="s">
        <v>202</v>
      </c>
      <c r="B10" s="34" t="s">
        <v>850</v>
      </c>
      <c r="C10" s="1"/>
      <c r="D10" s="1">
        <v>11.5</v>
      </c>
      <c r="E10" s="1">
        <v>6.8</v>
      </c>
      <c r="F10" s="1"/>
      <c r="G10" s="1">
        <v>5.5</v>
      </c>
      <c r="H10" s="1">
        <v>3</v>
      </c>
      <c r="I10" s="1"/>
      <c r="N10" s="1"/>
      <c r="O10" s="1">
        <v>11.5</v>
      </c>
      <c r="P10" s="1">
        <f>(E10*0.2)+E10</f>
        <v>8.16</v>
      </c>
      <c r="Q10" s="1"/>
      <c r="R10" s="1">
        <f>(G10*0.5)+G10</f>
        <v>8.25</v>
      </c>
      <c r="S10" s="1">
        <f>(H10*0.6)+H10</f>
        <v>4.8</v>
      </c>
      <c r="W10" s="1"/>
    </row>
    <row r="11" spans="1:23" x14ac:dyDescent="0.2">
      <c r="A11" s="8" t="s">
        <v>183</v>
      </c>
      <c r="B11" s="1" t="s">
        <v>851</v>
      </c>
      <c r="C11" s="1"/>
      <c r="D11" s="1"/>
      <c r="E11" s="1">
        <v>5.3</v>
      </c>
      <c r="F11" s="1">
        <v>5.2</v>
      </c>
      <c r="G11" s="1">
        <v>6.5</v>
      </c>
      <c r="H11" s="1">
        <v>3.4</v>
      </c>
      <c r="I11" s="1">
        <v>5</v>
      </c>
      <c r="J11" s="1">
        <v>0.3</v>
      </c>
      <c r="K11" s="1"/>
      <c r="L11" s="1"/>
      <c r="N11" s="1"/>
      <c r="O11" s="1"/>
      <c r="P11" s="1">
        <v>5.3</v>
      </c>
      <c r="Q11" s="1">
        <f>(F11*0.1)+F11</f>
        <v>5.7200000000000006</v>
      </c>
      <c r="R11" s="1">
        <f>(G11*0.3)+G11</f>
        <v>8.4499999999999993</v>
      </c>
      <c r="S11" s="1">
        <f>(H11*0.4)+H11</f>
        <v>4.76</v>
      </c>
      <c r="T11" s="1">
        <f>(I11*0.5)+I11</f>
        <v>7.5</v>
      </c>
      <c r="U11" s="1">
        <f>(J11*0.7)+J11</f>
        <v>0.51</v>
      </c>
      <c r="W11" s="1"/>
    </row>
    <row r="12" spans="1:23" x14ac:dyDescent="0.2">
      <c r="A12" s="8" t="s">
        <v>357</v>
      </c>
      <c r="B12" s="1" t="s">
        <v>852</v>
      </c>
      <c r="C12" s="1"/>
      <c r="D12" s="1"/>
      <c r="E12" s="1"/>
      <c r="F12" s="1"/>
      <c r="G12" s="1">
        <v>4.3</v>
      </c>
      <c r="H12" s="1">
        <v>3.6</v>
      </c>
      <c r="I12" s="1">
        <v>5</v>
      </c>
      <c r="K12" s="3">
        <v>3.9</v>
      </c>
      <c r="L12" s="1">
        <v>2.8</v>
      </c>
      <c r="N12" s="1"/>
      <c r="O12" s="1"/>
      <c r="P12" s="1"/>
      <c r="Q12" s="1"/>
      <c r="R12" s="1">
        <v>4.3</v>
      </c>
      <c r="S12" s="1">
        <f>(H12*0.1)+H12</f>
        <v>3.96</v>
      </c>
      <c r="T12" s="1">
        <f>(I12*0.2)+I12</f>
        <v>6</v>
      </c>
      <c r="U12" s="1"/>
      <c r="V12" s="1">
        <f>(K12*0.5)+K12</f>
        <v>5.85</v>
      </c>
      <c r="W12" s="1">
        <f>(L12*0.55)+L12</f>
        <v>4.34</v>
      </c>
    </row>
    <row r="13" spans="1:23" x14ac:dyDescent="0.2">
      <c r="A13" s="8" t="s">
        <v>1499</v>
      </c>
      <c r="B13" s="1" t="s">
        <v>1500</v>
      </c>
      <c r="C13" s="1"/>
      <c r="D13" s="1"/>
      <c r="E13" s="1"/>
      <c r="F13" s="1"/>
      <c r="G13" s="1"/>
      <c r="H13" s="37">
        <v>0.1</v>
      </c>
      <c r="I13" s="37">
        <v>0.8</v>
      </c>
      <c r="J13" s="37">
        <v>1.5</v>
      </c>
      <c r="K13" s="37">
        <v>3.8</v>
      </c>
      <c r="L13" s="37"/>
      <c r="N13" s="1"/>
      <c r="O13" s="1"/>
      <c r="P13" s="1"/>
      <c r="Q13" s="1"/>
      <c r="R13" s="1"/>
      <c r="S13" s="1">
        <v>0.1</v>
      </c>
      <c r="T13" s="1">
        <f>(I13*0.1)+I13</f>
        <v>0.88000000000000012</v>
      </c>
      <c r="U13" s="1">
        <f>(J13*0.3)+J13</f>
        <v>1.95</v>
      </c>
      <c r="V13" s="1">
        <f>(K13*0.4)+K13</f>
        <v>5.32</v>
      </c>
      <c r="W13" s="1"/>
    </row>
    <row r="14" spans="1:23" x14ac:dyDescent="0.2">
      <c r="A14" s="8" t="s">
        <v>1501</v>
      </c>
      <c r="B14" s="1" t="s">
        <v>1502</v>
      </c>
      <c r="C14" s="1"/>
      <c r="D14" s="1"/>
      <c r="E14" s="1"/>
      <c r="F14" s="1"/>
      <c r="G14" s="1"/>
      <c r="H14" s="40"/>
      <c r="I14" s="40"/>
      <c r="J14" s="41"/>
      <c r="K14" s="37">
        <v>4.8</v>
      </c>
      <c r="L14" s="37"/>
      <c r="N14" s="1"/>
      <c r="O14" s="1"/>
      <c r="P14" s="1"/>
      <c r="Q14" s="1"/>
      <c r="R14" s="1"/>
      <c r="S14" s="1"/>
      <c r="T14" s="1"/>
      <c r="U14" s="1"/>
      <c r="V14" s="1">
        <v>4.8</v>
      </c>
    </row>
    <row r="15" spans="1:23" x14ac:dyDescent="0.2">
      <c r="A15" s="8" t="s">
        <v>149</v>
      </c>
      <c r="B15" s="1" t="s">
        <v>853</v>
      </c>
      <c r="C15" s="1"/>
      <c r="D15" s="3">
        <v>0.5</v>
      </c>
      <c r="E15" s="1">
        <v>0.1</v>
      </c>
      <c r="F15" s="1"/>
      <c r="G15" s="1"/>
      <c r="H15" s="1"/>
      <c r="I15" s="1"/>
      <c r="N15" s="1"/>
      <c r="O15" s="1">
        <f t="shared" si="0"/>
        <v>0.57499999999999996</v>
      </c>
      <c r="P15" s="1">
        <f t="shared" ref="P15" si="8">(E15*0.35)+E15</f>
        <v>0.13500000000000001</v>
      </c>
      <c r="Q15" s="1"/>
      <c r="R15" s="1"/>
      <c r="S15" s="1"/>
    </row>
    <row r="16" spans="1:23" x14ac:dyDescent="0.2">
      <c r="A16" s="8" t="s">
        <v>573</v>
      </c>
      <c r="B16" s="1" t="s">
        <v>854</v>
      </c>
      <c r="C16" s="1"/>
      <c r="D16" s="3">
        <v>0.6</v>
      </c>
      <c r="E16" s="1"/>
      <c r="F16" s="1"/>
      <c r="G16" s="1"/>
      <c r="H16" s="1"/>
      <c r="I16" s="1"/>
      <c r="N16" s="1"/>
      <c r="O16" s="1">
        <f t="shared" si="0"/>
        <v>0.69</v>
      </c>
      <c r="P16" s="1"/>
      <c r="Q16" s="1"/>
      <c r="R16" s="1"/>
      <c r="S16" s="1"/>
    </row>
    <row r="17" spans="1:23" x14ac:dyDescent="0.2">
      <c r="A17" s="8" t="s">
        <v>1307</v>
      </c>
      <c r="B17" s="1" t="s">
        <v>1308</v>
      </c>
      <c r="C17" s="1"/>
      <c r="D17" s="3"/>
      <c r="E17" s="1"/>
      <c r="F17" s="1"/>
      <c r="G17" s="1"/>
      <c r="H17" s="1">
        <v>2.1</v>
      </c>
      <c r="I17" s="1">
        <v>6</v>
      </c>
      <c r="J17" s="1">
        <v>2.2999999999999998</v>
      </c>
      <c r="K17" s="1">
        <v>2.2999999999999998</v>
      </c>
      <c r="L17" s="1"/>
      <c r="N17" s="1"/>
      <c r="O17" s="1"/>
      <c r="P17" s="1"/>
      <c r="Q17" s="1"/>
      <c r="R17" s="1"/>
      <c r="S17" s="1">
        <v>2.1</v>
      </c>
      <c r="T17" s="1">
        <f>(I17*0.1)+I17</f>
        <v>6.6</v>
      </c>
      <c r="U17" s="1">
        <f>(J17*0.3)+J17</f>
        <v>2.9899999999999998</v>
      </c>
      <c r="V17" s="1">
        <f>(K17*0.4)+K17</f>
        <v>3.2199999999999998</v>
      </c>
    </row>
    <row r="18" spans="1:23" x14ac:dyDescent="0.2">
      <c r="A18" s="8" t="s">
        <v>574</v>
      </c>
      <c r="B18" s="1" t="s">
        <v>855</v>
      </c>
      <c r="C18" s="1"/>
      <c r="D18" s="1"/>
      <c r="E18" s="1">
        <v>3.1</v>
      </c>
      <c r="F18" s="1"/>
      <c r="G18" s="1"/>
      <c r="H18" s="1"/>
      <c r="I18" s="1"/>
      <c r="N18" s="1"/>
      <c r="O18" s="1"/>
      <c r="P18" s="1">
        <v>3.1</v>
      </c>
      <c r="Q18" s="1"/>
      <c r="R18" s="1"/>
      <c r="S18" s="1"/>
      <c r="V18" s="1"/>
    </row>
    <row r="19" spans="1:23" x14ac:dyDescent="0.2">
      <c r="A19" s="8" t="s">
        <v>115</v>
      </c>
      <c r="B19" s="1" t="s">
        <v>437</v>
      </c>
      <c r="E19" s="1"/>
      <c r="F19" s="1"/>
      <c r="G19" s="1"/>
      <c r="H19" s="1">
        <v>5.7</v>
      </c>
      <c r="I19" s="1"/>
      <c r="K19" s="3">
        <v>1.7</v>
      </c>
      <c r="L19" s="1">
        <v>1.2</v>
      </c>
      <c r="N19" s="1"/>
      <c r="O19" s="1"/>
      <c r="P19" s="1"/>
      <c r="Q19" s="1"/>
      <c r="R19" s="1"/>
      <c r="S19" s="1">
        <v>5.7</v>
      </c>
      <c r="V19" s="1">
        <f t="shared" ref="V19" si="9">(K19*0.4)+K19</f>
        <v>2.38</v>
      </c>
      <c r="W19" s="1">
        <f>(L19*0.45)+L19</f>
        <v>1.74</v>
      </c>
    </row>
    <row r="20" spans="1:23" x14ac:dyDescent="0.2">
      <c r="A20" s="8" t="s">
        <v>1527</v>
      </c>
      <c r="B20" s="1" t="s">
        <v>1528</v>
      </c>
      <c r="E20" s="1"/>
      <c r="F20" s="1"/>
      <c r="G20" s="1"/>
      <c r="H20" s="1"/>
      <c r="I20" s="1"/>
      <c r="K20" s="3"/>
      <c r="L20" s="1">
        <v>4.8</v>
      </c>
      <c r="N20" s="1"/>
      <c r="O20" s="1"/>
      <c r="P20" s="1"/>
      <c r="Q20" s="1"/>
      <c r="R20" s="1"/>
      <c r="S20" s="1"/>
      <c r="V20" s="1"/>
      <c r="W20" s="1">
        <v>4.8</v>
      </c>
    </row>
    <row r="21" spans="1:23" x14ac:dyDescent="0.2">
      <c r="A21" s="8" t="s">
        <v>59</v>
      </c>
      <c r="B21" s="1" t="s">
        <v>856</v>
      </c>
      <c r="E21" s="1"/>
      <c r="F21" s="1"/>
      <c r="G21" s="1">
        <v>24.1</v>
      </c>
      <c r="H21" s="1">
        <v>48.4</v>
      </c>
      <c r="I21" s="1">
        <v>48.3</v>
      </c>
      <c r="J21" s="1">
        <v>60.7</v>
      </c>
      <c r="K21" s="1">
        <v>44.3</v>
      </c>
      <c r="L21" s="1">
        <v>48.1</v>
      </c>
      <c r="N21" s="1"/>
      <c r="O21" s="1"/>
      <c r="P21" s="1"/>
      <c r="Q21" s="1"/>
      <c r="R21" s="1">
        <v>24.1</v>
      </c>
      <c r="S21" s="1">
        <f>(H21*0.1)+H21</f>
        <v>53.239999999999995</v>
      </c>
      <c r="T21" s="1">
        <f>(I21*0.2)+I21</f>
        <v>57.959999999999994</v>
      </c>
      <c r="U21" s="1">
        <f>(J21*0.4)+J21</f>
        <v>84.98</v>
      </c>
      <c r="V21" s="1">
        <f>(K21*0.5)+K21</f>
        <v>66.449999999999989</v>
      </c>
      <c r="W21" s="1">
        <f>(L21*0.55)+L21</f>
        <v>74.555000000000007</v>
      </c>
    </row>
    <row r="22" spans="1:23" x14ac:dyDescent="0.2">
      <c r="M22" s="3" t="s">
        <v>14</v>
      </c>
      <c r="N22" s="1">
        <f t="shared" ref="N22:W22" si="10">SUM(N2:N21)</f>
        <v>95.59999999999998</v>
      </c>
      <c r="O22" s="1">
        <f t="shared" si="10"/>
        <v>103.84500000000001</v>
      </c>
      <c r="P22" s="1">
        <f t="shared" si="10"/>
        <v>122.13</v>
      </c>
      <c r="Q22" s="1">
        <f t="shared" si="10"/>
        <v>130.18</v>
      </c>
      <c r="R22" s="1">
        <f t="shared" si="10"/>
        <v>125.1</v>
      </c>
      <c r="S22" s="1">
        <f t="shared" si="10"/>
        <v>121.91999999999999</v>
      </c>
      <c r="T22" s="1">
        <f t="shared" si="10"/>
        <v>126.82</v>
      </c>
      <c r="U22" s="1">
        <f t="shared" si="10"/>
        <v>128.03</v>
      </c>
      <c r="V22" s="1">
        <f t="shared" si="10"/>
        <v>161.94</v>
      </c>
      <c r="W22" s="1">
        <f t="shared" si="10"/>
        <v>170.14500000000001</v>
      </c>
    </row>
    <row r="24" spans="1:23" x14ac:dyDescent="0.2">
      <c r="N24" s="1">
        <v>100</v>
      </c>
      <c r="O24" s="1">
        <v>115</v>
      </c>
      <c r="P24" s="1">
        <v>135</v>
      </c>
      <c r="Q24" s="1">
        <v>140</v>
      </c>
      <c r="R24" s="1">
        <v>160</v>
      </c>
      <c r="S24" s="1">
        <v>170</v>
      </c>
      <c r="T24" s="1">
        <v>180</v>
      </c>
      <c r="U24" s="1">
        <v>200</v>
      </c>
      <c r="V24" s="1">
        <v>210</v>
      </c>
      <c r="W24" s="1">
        <v>215</v>
      </c>
    </row>
    <row r="26" spans="1:23" x14ac:dyDescent="0.2">
      <c r="N26" s="1">
        <f>N22</f>
        <v>95.59999999999998</v>
      </c>
      <c r="O26" s="1">
        <f>SUM(N26+O22)</f>
        <v>199.44499999999999</v>
      </c>
      <c r="P26" s="1">
        <f>SUM(O26+P22)</f>
        <v>321.57499999999999</v>
      </c>
      <c r="Q26" s="1">
        <f>SUM(P26+Q22)</f>
        <v>451.755</v>
      </c>
      <c r="R26" s="1">
        <f t="shared" ref="R26:W26" si="11">SUM(Q26+R22)</f>
        <v>576.85500000000002</v>
      </c>
      <c r="S26" s="1">
        <f t="shared" si="11"/>
        <v>698.77499999999998</v>
      </c>
      <c r="T26" s="1">
        <f t="shared" si="11"/>
        <v>825.59500000000003</v>
      </c>
      <c r="U26" s="1">
        <f t="shared" si="11"/>
        <v>953.625</v>
      </c>
      <c r="V26" s="1">
        <f t="shared" si="11"/>
        <v>1115.5650000000001</v>
      </c>
      <c r="W26" s="1">
        <f t="shared" si="11"/>
        <v>1285.71</v>
      </c>
    </row>
    <row r="27" spans="1:23" x14ac:dyDescent="0.2">
      <c r="N27" s="3"/>
      <c r="O27" s="3"/>
      <c r="P27" s="3"/>
      <c r="Q27" s="3"/>
      <c r="R27" s="1"/>
    </row>
    <row r="28" spans="1:23" x14ac:dyDescent="0.2">
      <c r="N28" s="1">
        <v>100</v>
      </c>
      <c r="O28" s="1">
        <f>SUM(N28+O24)</f>
        <v>215</v>
      </c>
      <c r="P28" s="1">
        <f>SUM(O28+P24)</f>
        <v>350</v>
      </c>
      <c r="Q28" s="1">
        <f>SUM(P28+Q24)</f>
        <v>490</v>
      </c>
      <c r="R28" s="1">
        <f t="shared" ref="R28:W28" si="12">SUM(Q28+R24)</f>
        <v>650</v>
      </c>
      <c r="S28" s="1">
        <f t="shared" si="12"/>
        <v>820</v>
      </c>
      <c r="T28" s="1">
        <f t="shared" si="12"/>
        <v>1000</v>
      </c>
      <c r="U28" s="1">
        <f t="shared" si="12"/>
        <v>1200</v>
      </c>
      <c r="V28" s="1">
        <f t="shared" si="12"/>
        <v>1410</v>
      </c>
      <c r="W28" s="1">
        <f t="shared" si="12"/>
        <v>1625</v>
      </c>
    </row>
    <row r="30" spans="1:23" ht="16" x14ac:dyDescent="0.2">
      <c r="A30" s="21"/>
      <c r="B30" s="21"/>
      <c r="C30" s="16"/>
      <c r="N30" s="4" t="s">
        <v>1563</v>
      </c>
      <c r="O30" s="4" t="s">
        <v>1563</v>
      </c>
      <c r="P30" s="4" t="s">
        <v>1563</v>
      </c>
      <c r="Q30" s="4" t="s">
        <v>1563</v>
      </c>
      <c r="R30" s="4" t="s">
        <v>1563</v>
      </c>
      <c r="S30" s="4" t="s">
        <v>1563</v>
      </c>
      <c r="T30" s="4" t="s">
        <v>1563</v>
      </c>
      <c r="U30" s="4" t="s">
        <v>1563</v>
      </c>
      <c r="V30" s="4" t="s">
        <v>1563</v>
      </c>
      <c r="W30" s="4" t="s">
        <v>1563</v>
      </c>
    </row>
    <row r="31" spans="1:23" ht="16" x14ac:dyDescent="0.2">
      <c r="A31" s="21"/>
      <c r="B31" s="21"/>
      <c r="C31" s="16"/>
      <c r="N31" s="6">
        <f>(N26/N28)*100</f>
        <v>95.59999999999998</v>
      </c>
      <c r="O31" s="6">
        <f>(O26/O28)*100</f>
        <v>92.765116279069758</v>
      </c>
      <c r="P31" s="6">
        <f>(P26/P28)*100</f>
        <v>91.878571428571419</v>
      </c>
      <c r="Q31" s="6">
        <f>(Q26/Q28)*100</f>
        <v>92.194897959183677</v>
      </c>
      <c r="R31" s="6">
        <f t="shared" ref="R31:W31" si="13">(R26/R28)*100</f>
        <v>88.746923076923082</v>
      </c>
      <c r="S31" s="38">
        <f t="shared" si="13"/>
        <v>85.216463414634148</v>
      </c>
      <c r="T31" s="38">
        <f t="shared" si="13"/>
        <v>82.559500000000014</v>
      </c>
      <c r="U31" s="38">
        <f t="shared" si="13"/>
        <v>79.46875</v>
      </c>
      <c r="V31" s="38">
        <f t="shared" si="13"/>
        <v>79.118085106382978</v>
      </c>
      <c r="W31" s="38">
        <f t="shared" si="13"/>
        <v>79.120615384615391</v>
      </c>
    </row>
    <row r="32" spans="1:23" ht="16" x14ac:dyDescent="0.2">
      <c r="A32" s="21"/>
      <c r="B32" s="21"/>
      <c r="C32" s="16"/>
    </row>
    <row r="33" spans="1:3" ht="16" x14ac:dyDescent="0.2">
      <c r="A33" s="21"/>
      <c r="B33" s="21"/>
      <c r="C33" s="16"/>
    </row>
    <row r="34" spans="1:3" ht="16" x14ac:dyDescent="0.2">
      <c r="A34" s="21"/>
      <c r="B34" s="21"/>
      <c r="C34" s="16"/>
    </row>
    <row r="35" spans="1:3" ht="16" x14ac:dyDescent="0.2">
      <c r="A35" s="21"/>
      <c r="B35" s="21"/>
      <c r="C35" s="16"/>
    </row>
    <row r="36" spans="1:3" ht="16" x14ac:dyDescent="0.2">
      <c r="A36" s="21"/>
      <c r="B36" s="21"/>
      <c r="C36" s="16"/>
    </row>
    <row r="37" spans="1:3" ht="16" x14ac:dyDescent="0.2">
      <c r="A37" s="21"/>
      <c r="B37" s="21"/>
      <c r="C37" s="16"/>
    </row>
    <row r="38" spans="1:3" ht="16" x14ac:dyDescent="0.2">
      <c r="A38" s="21"/>
      <c r="B38" s="21"/>
      <c r="C38" s="16"/>
    </row>
    <row r="39" spans="1:3" ht="16" x14ac:dyDescent="0.2">
      <c r="A39" s="21"/>
      <c r="B39" s="21"/>
      <c r="C39" s="16"/>
    </row>
    <row r="40" spans="1:3" ht="16" x14ac:dyDescent="0.2">
      <c r="A40" s="21"/>
      <c r="B40" s="21"/>
      <c r="C40" s="16"/>
    </row>
    <row r="41" spans="1:3" ht="16" x14ac:dyDescent="0.2">
      <c r="A41" s="21"/>
      <c r="B41" s="21"/>
      <c r="C41" s="16"/>
    </row>
    <row r="42" spans="1:3" ht="16" x14ac:dyDescent="0.2">
      <c r="A42" s="21"/>
      <c r="B42" s="21"/>
      <c r="C42" s="16"/>
    </row>
    <row r="43" spans="1:3" ht="16" x14ac:dyDescent="0.2">
      <c r="A43" s="21"/>
      <c r="B43" s="21"/>
      <c r="C43" s="16"/>
    </row>
    <row r="44" spans="1:3" ht="16" x14ac:dyDescent="0.2">
      <c r="A44" s="21"/>
      <c r="B44" s="21"/>
      <c r="C44" s="16"/>
    </row>
    <row r="45" spans="1:3" ht="16" x14ac:dyDescent="0.2">
      <c r="A45" s="21"/>
      <c r="B45" s="21"/>
      <c r="C45" s="16"/>
    </row>
    <row r="46" spans="1:3" ht="16" x14ac:dyDescent="0.2">
      <c r="A46" s="21"/>
      <c r="B46" s="21"/>
      <c r="C46" s="16"/>
    </row>
    <row r="47" spans="1:3" ht="16" x14ac:dyDescent="0.2">
      <c r="A47" s="21"/>
      <c r="B47" s="21"/>
      <c r="C47" s="16"/>
    </row>
    <row r="48" spans="1:3" ht="16" x14ac:dyDescent="0.2">
      <c r="A48" s="21"/>
      <c r="B48" s="21"/>
      <c r="C48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W67"/>
  <sheetViews>
    <sheetView topLeftCell="H19" workbookViewId="0">
      <selection activeCell="N42" sqref="N42:W42"/>
    </sheetView>
  </sheetViews>
  <sheetFormatPr baseColWidth="10" defaultRowHeight="15" x14ac:dyDescent="0.2"/>
  <cols>
    <col min="2" max="2" width="43" customWidth="1"/>
  </cols>
  <sheetData>
    <row r="1" spans="1:23" ht="16" x14ac:dyDescent="0.2">
      <c r="A1" s="3" t="s">
        <v>15</v>
      </c>
      <c r="B1" s="24" t="s">
        <v>681</v>
      </c>
      <c r="C1" s="3">
        <v>1992</v>
      </c>
      <c r="D1" s="3">
        <v>1994</v>
      </c>
      <c r="E1" s="3">
        <v>1998</v>
      </c>
      <c r="F1" s="3">
        <v>2002</v>
      </c>
      <c r="G1" s="3">
        <v>2006</v>
      </c>
      <c r="H1" s="3">
        <v>2010</v>
      </c>
      <c r="I1" s="3">
        <v>2012</v>
      </c>
      <c r="J1" s="3">
        <v>2016</v>
      </c>
      <c r="K1" s="3">
        <v>2020</v>
      </c>
      <c r="L1" s="3">
        <v>2023</v>
      </c>
      <c r="N1" s="3">
        <v>1992</v>
      </c>
      <c r="O1" s="3">
        <v>1994</v>
      </c>
      <c r="P1" s="3">
        <v>1998</v>
      </c>
      <c r="Q1" s="3">
        <v>2002</v>
      </c>
      <c r="R1" s="3">
        <v>2006</v>
      </c>
      <c r="S1" s="3">
        <v>2010</v>
      </c>
      <c r="T1" s="3">
        <v>2012</v>
      </c>
      <c r="U1" s="3">
        <v>2016</v>
      </c>
      <c r="V1" s="3">
        <v>2020</v>
      </c>
      <c r="W1" s="3">
        <v>2023</v>
      </c>
    </row>
    <row r="2" spans="1:23" ht="16" x14ac:dyDescent="0.2">
      <c r="A2" s="8" t="s">
        <v>56</v>
      </c>
      <c r="B2" s="16" t="s">
        <v>818</v>
      </c>
      <c r="C2" s="1">
        <v>37.299999999999997</v>
      </c>
      <c r="D2" s="1">
        <v>35</v>
      </c>
      <c r="E2" s="1">
        <v>27</v>
      </c>
      <c r="F2" s="1">
        <v>19.5</v>
      </c>
      <c r="G2" s="1">
        <v>8.8000000000000007</v>
      </c>
      <c r="H2" s="1">
        <v>4.3</v>
      </c>
      <c r="I2" s="1">
        <v>0.9</v>
      </c>
      <c r="L2" s="1"/>
      <c r="M2" s="8"/>
      <c r="N2" s="1">
        <v>37.299999999999997</v>
      </c>
      <c r="O2" s="1">
        <f>(D2*0.1)+D2</f>
        <v>38.5</v>
      </c>
      <c r="P2" s="1">
        <f>(E2*0.3)+E2</f>
        <v>35.1</v>
      </c>
      <c r="Q2" s="1">
        <f>(F2*0.5)+F2</f>
        <v>29.25</v>
      </c>
      <c r="R2" s="1">
        <f>(G2*0.7)+G2</f>
        <v>14.96</v>
      </c>
      <c r="S2" s="1">
        <f>(H2*0.9)+H2</f>
        <v>8.17</v>
      </c>
      <c r="T2" s="1">
        <f>(I2*1)+I2</f>
        <v>1.8</v>
      </c>
      <c r="U2" s="1"/>
      <c r="V2" s="1"/>
      <c r="W2" s="1"/>
    </row>
    <row r="3" spans="1:23" ht="16" x14ac:dyDescent="0.2">
      <c r="A3" s="8" t="s">
        <v>57</v>
      </c>
      <c r="B3" s="16" t="s">
        <v>819</v>
      </c>
      <c r="C3" s="1">
        <v>14.7</v>
      </c>
      <c r="D3" s="1">
        <v>10.4</v>
      </c>
      <c r="E3" s="1">
        <v>14.7</v>
      </c>
      <c r="F3" s="1">
        <v>1.4</v>
      </c>
      <c r="G3" s="1"/>
      <c r="H3" s="1"/>
      <c r="I3" s="1"/>
      <c r="M3" s="8"/>
      <c r="N3" s="1">
        <v>14.7</v>
      </c>
      <c r="O3" s="1">
        <f t="shared" ref="O3:O28" si="0">(D3*0.1)+D3</f>
        <v>11.440000000000001</v>
      </c>
      <c r="P3" s="1">
        <f t="shared" ref="P3:P5" si="1">(E3*0.3)+E3</f>
        <v>19.11</v>
      </c>
      <c r="Q3" s="1">
        <f t="shared" ref="Q3:Q5" si="2">(F3*0.5)+F3</f>
        <v>2.0999999999999996</v>
      </c>
      <c r="R3" s="1"/>
      <c r="S3" s="1"/>
      <c r="T3" s="1"/>
      <c r="U3" s="1"/>
    </row>
    <row r="4" spans="1:23" ht="16" x14ac:dyDescent="0.2">
      <c r="A4" s="8" t="s">
        <v>58</v>
      </c>
      <c r="B4" s="16" t="s">
        <v>820</v>
      </c>
      <c r="C4" s="1">
        <v>8.9</v>
      </c>
      <c r="D4" s="1">
        <v>10.1</v>
      </c>
      <c r="E4" s="1"/>
      <c r="F4" s="1">
        <v>8.3000000000000007</v>
      </c>
      <c r="G4" s="1">
        <v>8.3000000000000007</v>
      </c>
      <c r="H4" s="1">
        <v>8.5</v>
      </c>
      <c r="I4" s="1">
        <v>8.8000000000000007</v>
      </c>
      <c r="J4" s="1">
        <v>4.9000000000000004</v>
      </c>
      <c r="K4" s="1">
        <v>4.7</v>
      </c>
      <c r="L4" s="1">
        <v>6.8</v>
      </c>
      <c r="M4" s="8"/>
      <c r="N4" s="1">
        <v>8.9</v>
      </c>
      <c r="O4" s="1">
        <f t="shared" si="0"/>
        <v>11.11</v>
      </c>
      <c r="P4" s="1"/>
      <c r="Q4" s="1">
        <f t="shared" si="2"/>
        <v>12.450000000000001</v>
      </c>
      <c r="R4" s="1">
        <f t="shared" ref="R4:R5" si="3">(G4*0.7)+G4</f>
        <v>14.110000000000001</v>
      </c>
      <c r="S4" s="1">
        <f t="shared" ref="S4:S5" si="4">(H4*0.9)+H4</f>
        <v>16.149999999999999</v>
      </c>
      <c r="T4" s="1">
        <f t="shared" ref="T4:T5" si="5">(I4*1)+I4</f>
        <v>17.600000000000001</v>
      </c>
      <c r="U4" s="1">
        <f>(J4*1.2)+J4</f>
        <v>10.780000000000001</v>
      </c>
      <c r="V4" s="1">
        <f>(K4*1.4)+K4</f>
        <v>11.280000000000001</v>
      </c>
      <c r="W4" s="1">
        <f>(L4*1.55)+L4</f>
        <v>17.34</v>
      </c>
    </row>
    <row r="5" spans="1:23" ht="16" x14ac:dyDescent="0.2">
      <c r="A5" s="8" t="s">
        <v>59</v>
      </c>
      <c r="B5" s="16" t="s">
        <v>821</v>
      </c>
      <c r="C5" s="1">
        <v>7.9</v>
      </c>
      <c r="D5" s="1">
        <v>5.4</v>
      </c>
      <c r="E5" s="1">
        <v>9.1</v>
      </c>
      <c r="F5" s="1">
        <v>3.3</v>
      </c>
      <c r="G5" s="1">
        <v>11.7</v>
      </c>
      <c r="H5" s="1">
        <v>5.0999999999999996</v>
      </c>
      <c r="I5" s="1">
        <v>4.5999999999999996</v>
      </c>
      <c r="J5" s="1">
        <v>8.6</v>
      </c>
      <c r="K5" s="1">
        <v>3.2</v>
      </c>
      <c r="L5" s="1">
        <v>5.6</v>
      </c>
      <c r="M5" s="8"/>
      <c r="N5" s="1">
        <v>7.9</v>
      </c>
      <c r="O5" s="1">
        <f t="shared" si="0"/>
        <v>5.94</v>
      </c>
      <c r="P5" s="1">
        <f t="shared" si="1"/>
        <v>11.83</v>
      </c>
      <c r="Q5" s="1">
        <f t="shared" si="2"/>
        <v>4.9499999999999993</v>
      </c>
      <c r="R5" s="1">
        <f t="shared" si="3"/>
        <v>19.89</v>
      </c>
      <c r="S5" s="1">
        <f t="shared" si="4"/>
        <v>9.69</v>
      </c>
      <c r="T5" s="1">
        <f t="shared" si="5"/>
        <v>9.1999999999999993</v>
      </c>
      <c r="U5" s="1">
        <f>(J5*1.2)+J5</f>
        <v>18.919999999999998</v>
      </c>
      <c r="V5" s="1">
        <f>(K5*1.4)+K5</f>
        <v>7.68</v>
      </c>
      <c r="W5" s="1">
        <f>(L5*1.55)+L5</f>
        <v>14.28</v>
      </c>
    </row>
    <row r="6" spans="1:23" ht="16" x14ac:dyDescent="0.2">
      <c r="A6" s="8" t="s">
        <v>62</v>
      </c>
      <c r="B6" s="16" t="s">
        <v>822</v>
      </c>
      <c r="E6" s="1">
        <v>9.1</v>
      </c>
      <c r="F6" s="1">
        <v>11.2</v>
      </c>
      <c r="G6" s="1">
        <v>11.7</v>
      </c>
      <c r="H6" s="1">
        <v>4.3</v>
      </c>
      <c r="I6" s="1">
        <v>4.3</v>
      </c>
      <c r="J6" s="1">
        <v>4.0999999999999996</v>
      </c>
      <c r="K6" s="1">
        <v>3.9</v>
      </c>
      <c r="L6" s="1">
        <v>4.4000000000000004</v>
      </c>
      <c r="M6" s="8"/>
      <c r="O6" s="1"/>
      <c r="P6" s="1">
        <v>9.1</v>
      </c>
      <c r="Q6" s="1">
        <f>(F6*0.2)+F6</f>
        <v>13.44</v>
      </c>
      <c r="R6" s="1">
        <f>(G6*0.4)+G6</f>
        <v>16.38</v>
      </c>
      <c r="S6" s="1">
        <f>(H6*0.6)+H6</f>
        <v>6.879999999999999</v>
      </c>
      <c r="T6" s="1">
        <f>(I6*0.7)+I6</f>
        <v>7.31</v>
      </c>
      <c r="U6" s="1">
        <f>(J6*0.9)+J6</f>
        <v>7.7899999999999991</v>
      </c>
      <c r="V6" s="1">
        <f>(K6*1.1)+K6</f>
        <v>8.19</v>
      </c>
      <c r="W6" s="1">
        <f>(L6*1.25)+L6</f>
        <v>9.9</v>
      </c>
    </row>
    <row r="7" spans="1:23" ht="16" x14ac:dyDescent="0.2">
      <c r="A7" s="8" t="s">
        <v>60</v>
      </c>
      <c r="B7" s="16" t="s">
        <v>823</v>
      </c>
      <c r="C7" s="1"/>
      <c r="D7" s="1"/>
      <c r="E7" s="1"/>
      <c r="F7" s="1">
        <v>15.1</v>
      </c>
      <c r="G7" s="1">
        <v>18.399999999999999</v>
      </c>
      <c r="H7" s="1">
        <v>15.4</v>
      </c>
      <c r="I7" s="1">
        <v>6.1</v>
      </c>
      <c r="J7" s="1">
        <v>0.3</v>
      </c>
      <c r="K7" s="1"/>
      <c r="L7" s="1">
        <v>0</v>
      </c>
      <c r="M7" s="8"/>
      <c r="N7" s="1"/>
      <c r="O7" s="1"/>
      <c r="P7" s="1"/>
      <c r="Q7" s="1">
        <v>15.1</v>
      </c>
      <c r="R7" s="1">
        <f>(G7*0.2)+G7</f>
        <v>22.08</v>
      </c>
      <c r="S7" s="1">
        <f>(H7*0.4)+H7</f>
        <v>21.560000000000002</v>
      </c>
      <c r="T7" s="1">
        <f>(I7*0.5)+I7</f>
        <v>9.1499999999999986</v>
      </c>
      <c r="U7" s="1">
        <f>(J7*0.7)+J7</f>
        <v>0.51</v>
      </c>
      <c r="V7" s="1"/>
      <c r="W7" s="1">
        <f>(L7*1.05)+L7</f>
        <v>0</v>
      </c>
    </row>
    <row r="8" spans="1:23" ht="16" x14ac:dyDescent="0.2">
      <c r="A8" s="8" t="s">
        <v>61</v>
      </c>
      <c r="B8" s="16" t="s">
        <v>824</v>
      </c>
      <c r="C8" s="1"/>
      <c r="D8" s="1"/>
      <c r="E8" s="1"/>
      <c r="F8" s="1">
        <v>13.5</v>
      </c>
      <c r="G8" s="1">
        <v>29.1</v>
      </c>
      <c r="H8" s="1">
        <v>34.799999999999997</v>
      </c>
      <c r="I8" s="1">
        <v>44.4</v>
      </c>
      <c r="J8" s="1">
        <v>28.3</v>
      </c>
      <c r="K8" s="1">
        <v>18.3</v>
      </c>
      <c r="L8" s="1">
        <v>23</v>
      </c>
      <c r="M8" s="8"/>
      <c r="N8" s="1"/>
      <c r="O8" s="1"/>
      <c r="P8" s="1"/>
      <c r="Q8" s="1">
        <v>13.5</v>
      </c>
      <c r="R8" s="1">
        <f>(G8*0.2)+G8</f>
        <v>34.92</v>
      </c>
      <c r="S8" s="1">
        <f>(H8*0.4)+H8</f>
        <v>48.72</v>
      </c>
      <c r="T8" s="1">
        <f>(I8*0.5)+I8</f>
        <v>66.599999999999994</v>
      </c>
      <c r="U8" s="1">
        <f>(J8*0.7)+J8</f>
        <v>48.11</v>
      </c>
      <c r="V8" s="1">
        <f>(K8*0.9)+K8</f>
        <v>34.770000000000003</v>
      </c>
      <c r="W8" s="1">
        <f>(L8*1.05)+L8</f>
        <v>47.150000000000006</v>
      </c>
    </row>
    <row r="9" spans="1:23" ht="16" x14ac:dyDescent="0.2">
      <c r="A9" s="15" t="s">
        <v>577</v>
      </c>
      <c r="B9" s="16" t="s">
        <v>825</v>
      </c>
      <c r="C9" s="1">
        <v>4</v>
      </c>
      <c r="D9" s="1"/>
      <c r="E9" s="1"/>
      <c r="F9" s="1"/>
      <c r="G9" s="1"/>
      <c r="H9" s="1"/>
      <c r="I9" s="1"/>
      <c r="J9" s="1"/>
      <c r="K9" s="1"/>
      <c r="L9" s="1"/>
      <c r="M9" s="15"/>
      <c r="N9" s="1">
        <v>4</v>
      </c>
      <c r="O9" s="1"/>
      <c r="P9" s="1"/>
      <c r="Q9" s="1"/>
      <c r="R9" s="1"/>
      <c r="S9" s="1"/>
      <c r="T9" s="1"/>
      <c r="U9" s="1"/>
    </row>
    <row r="10" spans="1:23" ht="16" x14ac:dyDescent="0.2">
      <c r="A10" s="15" t="s">
        <v>578</v>
      </c>
      <c r="B10" s="16" t="s">
        <v>826</v>
      </c>
      <c r="C10" s="1">
        <v>4</v>
      </c>
      <c r="D10" s="1"/>
      <c r="E10" s="1"/>
      <c r="F10" s="1"/>
      <c r="G10" s="1"/>
      <c r="H10" s="1"/>
      <c r="I10" s="1"/>
      <c r="J10" s="1"/>
      <c r="K10" s="1"/>
      <c r="L10" s="1"/>
      <c r="M10" s="15"/>
      <c r="N10" s="1">
        <v>4</v>
      </c>
      <c r="O10" s="1"/>
      <c r="P10" s="1"/>
      <c r="Q10" s="1"/>
      <c r="R10" s="1"/>
      <c r="S10" s="1"/>
      <c r="T10" s="1"/>
      <c r="U10" s="1"/>
    </row>
    <row r="11" spans="1:23" ht="16" x14ac:dyDescent="0.2">
      <c r="A11" s="15" t="s">
        <v>198</v>
      </c>
      <c r="B11" s="16" t="s">
        <v>744</v>
      </c>
      <c r="C11" s="1">
        <v>3.3</v>
      </c>
      <c r="D11" s="1">
        <v>3.4</v>
      </c>
      <c r="E11" s="1"/>
      <c r="F11" s="1"/>
      <c r="G11" s="1"/>
      <c r="H11" s="1"/>
      <c r="I11" s="1"/>
      <c r="J11" s="1"/>
      <c r="K11" s="1"/>
      <c r="L11" s="1"/>
      <c r="M11" s="15"/>
      <c r="N11" s="1">
        <v>3.3</v>
      </c>
      <c r="O11" s="1">
        <f t="shared" si="0"/>
        <v>3.7399999999999998</v>
      </c>
      <c r="P11" s="1"/>
      <c r="Q11" s="1"/>
      <c r="R11" s="1"/>
      <c r="S11" s="1"/>
      <c r="T11" s="1"/>
      <c r="U11" s="1"/>
    </row>
    <row r="12" spans="1:23" ht="16" x14ac:dyDescent="0.2">
      <c r="A12" s="15" t="s">
        <v>579</v>
      </c>
      <c r="B12" s="16" t="s">
        <v>827</v>
      </c>
      <c r="D12" s="1">
        <v>8.6</v>
      </c>
      <c r="E12" s="1"/>
      <c r="F12" s="1"/>
      <c r="G12" s="1"/>
      <c r="H12" s="1"/>
      <c r="I12" s="1"/>
      <c r="J12" s="1"/>
      <c r="K12" s="1"/>
      <c r="L12" s="1"/>
      <c r="M12" s="15"/>
      <c r="O12" s="1">
        <v>8.6</v>
      </c>
      <c r="P12" s="1"/>
      <c r="Q12" s="1"/>
      <c r="R12" s="1"/>
      <c r="S12" s="1"/>
      <c r="T12" s="1"/>
      <c r="U12" s="1"/>
    </row>
    <row r="13" spans="1:23" ht="16" x14ac:dyDescent="0.2">
      <c r="A13" s="15" t="s">
        <v>580</v>
      </c>
      <c r="B13" s="16" t="s">
        <v>828</v>
      </c>
      <c r="C13" s="1"/>
      <c r="D13" s="1">
        <v>7.3</v>
      </c>
      <c r="E13" s="1">
        <v>1.3</v>
      </c>
      <c r="F13" s="1">
        <v>0.5</v>
      </c>
      <c r="G13" s="1">
        <v>0.3</v>
      </c>
      <c r="H13" s="1">
        <v>0.2</v>
      </c>
      <c r="I13" s="1"/>
      <c r="J13" s="1"/>
      <c r="K13" s="1"/>
      <c r="L13" s="1"/>
      <c r="M13" s="15"/>
      <c r="N13" s="1"/>
      <c r="O13" s="1">
        <v>7.3</v>
      </c>
      <c r="P13" s="1">
        <f>(E13*0.2)+E13</f>
        <v>1.56</v>
      </c>
      <c r="Q13" s="1">
        <f>(F13*0.4)+F13</f>
        <v>0.7</v>
      </c>
      <c r="R13" s="1">
        <f>(G13*0.6)+G13</f>
        <v>0.48</v>
      </c>
      <c r="S13" s="1">
        <f>(H13*0.8)+H13</f>
        <v>0.36000000000000004</v>
      </c>
      <c r="T13" s="1"/>
      <c r="U13" s="1"/>
    </row>
    <row r="14" spans="1:23" ht="16" x14ac:dyDescent="0.2">
      <c r="A14" s="15" t="s">
        <v>581</v>
      </c>
      <c r="B14" s="16" t="s">
        <v>829</v>
      </c>
      <c r="C14" s="1">
        <v>3.1</v>
      </c>
      <c r="D14" s="1">
        <v>2.1</v>
      </c>
      <c r="E14" s="1"/>
      <c r="F14" s="1"/>
      <c r="G14" s="1"/>
      <c r="H14" s="1"/>
      <c r="I14" s="1"/>
      <c r="J14" s="1"/>
      <c r="K14" s="1"/>
      <c r="L14" s="1"/>
      <c r="M14" s="15"/>
      <c r="N14" s="1">
        <v>3.1</v>
      </c>
      <c r="O14" s="1">
        <f t="shared" si="0"/>
        <v>2.31</v>
      </c>
      <c r="P14" s="1"/>
      <c r="Q14" s="1"/>
      <c r="R14" s="1"/>
      <c r="S14" s="1"/>
      <c r="T14" s="1"/>
      <c r="U14" s="1"/>
    </row>
    <row r="15" spans="1:23" ht="16" x14ac:dyDescent="0.2">
      <c r="A15" s="15" t="s">
        <v>582</v>
      </c>
      <c r="B15" s="16" t="s">
        <v>830</v>
      </c>
      <c r="C15" s="1"/>
      <c r="D15" s="1"/>
      <c r="E15" s="1">
        <v>26.3</v>
      </c>
      <c r="F15" s="1"/>
      <c r="G15" s="1"/>
      <c r="H15" s="1"/>
      <c r="I15" s="1"/>
      <c r="J15" s="1"/>
      <c r="K15" s="1"/>
      <c r="L15" s="1"/>
      <c r="M15" s="15"/>
      <c r="N15" s="1"/>
      <c r="O15" s="1"/>
      <c r="P15" s="1">
        <v>26.3</v>
      </c>
      <c r="Q15" s="1"/>
      <c r="R15" s="1"/>
      <c r="S15" s="1"/>
      <c r="T15" s="1"/>
      <c r="U15" s="1"/>
    </row>
    <row r="16" spans="1:23" ht="16" x14ac:dyDescent="0.2">
      <c r="A16" s="15" t="s">
        <v>583</v>
      </c>
      <c r="B16" s="16" t="s">
        <v>831</v>
      </c>
      <c r="C16" s="1"/>
      <c r="D16" s="1"/>
      <c r="E16" s="1"/>
      <c r="F16" s="1"/>
      <c r="G16" s="1"/>
      <c r="H16" s="1">
        <v>1.3</v>
      </c>
      <c r="I16" s="1">
        <v>1.6</v>
      </c>
      <c r="J16" s="1">
        <v>8</v>
      </c>
      <c r="K16" s="1">
        <v>8</v>
      </c>
      <c r="L16" s="1">
        <v>0.8</v>
      </c>
      <c r="M16" s="15"/>
      <c r="N16" s="1"/>
      <c r="O16" s="1"/>
      <c r="P16" s="1"/>
      <c r="Q16" s="1"/>
      <c r="R16" s="1"/>
      <c r="S16" s="1">
        <v>1.3</v>
      </c>
      <c r="T16" s="1">
        <f>(I16*0.1)+I16</f>
        <v>1.7600000000000002</v>
      </c>
      <c r="U16" s="1">
        <f>(J16*0.3)+J16</f>
        <v>10.4</v>
      </c>
      <c r="V16" s="1">
        <f>(K16*0.5)+K16</f>
        <v>12</v>
      </c>
      <c r="W16" s="1">
        <f>(L16*0.65)+L16</f>
        <v>1.32</v>
      </c>
    </row>
    <row r="17" spans="1:23" ht="16" x14ac:dyDescent="0.2">
      <c r="A17" s="15" t="s">
        <v>584</v>
      </c>
      <c r="B17" s="16" t="s">
        <v>832</v>
      </c>
      <c r="C17" s="1"/>
      <c r="D17" s="1"/>
      <c r="E17" s="1"/>
      <c r="F17" s="1"/>
      <c r="G17" s="1"/>
      <c r="H17" s="1"/>
      <c r="I17" s="1"/>
      <c r="J17" s="1">
        <v>6.6</v>
      </c>
      <c r="K17" s="1">
        <v>8.1999999999999993</v>
      </c>
      <c r="L17" s="1">
        <v>2.2000000000000002</v>
      </c>
      <c r="M17" s="15"/>
      <c r="N17" s="1"/>
      <c r="O17" s="1"/>
      <c r="P17" s="1"/>
      <c r="Q17" s="1"/>
      <c r="R17" s="1"/>
      <c r="S17" s="1"/>
      <c r="T17" s="1"/>
      <c r="U17" s="1">
        <v>6.6</v>
      </c>
      <c r="V17" s="1">
        <f>(K17*0.2)+K17</f>
        <v>9.84</v>
      </c>
      <c r="W17" s="1">
        <f>(L17*0.35)+L17</f>
        <v>2.97</v>
      </c>
    </row>
    <row r="18" spans="1:23" ht="16" x14ac:dyDescent="0.2">
      <c r="A18" s="15" t="s">
        <v>585</v>
      </c>
      <c r="B18" s="16" t="s">
        <v>833</v>
      </c>
      <c r="C18" s="1"/>
      <c r="D18" s="1"/>
      <c r="E18" s="1"/>
      <c r="F18" s="1"/>
      <c r="G18" s="1"/>
      <c r="H18" s="1"/>
      <c r="I18" s="1"/>
      <c r="J18" s="1">
        <v>5.6</v>
      </c>
      <c r="K18" s="1"/>
      <c r="L18" s="1"/>
      <c r="M18" s="15"/>
      <c r="N18" s="1"/>
      <c r="O18" s="1"/>
      <c r="P18" s="1"/>
      <c r="Q18" s="1"/>
      <c r="R18" s="1"/>
      <c r="S18" s="1"/>
      <c r="T18" s="1"/>
      <c r="U18" s="1">
        <v>5.6</v>
      </c>
    </row>
    <row r="19" spans="1:23" ht="16" x14ac:dyDescent="0.2">
      <c r="A19" s="15" t="s">
        <v>477</v>
      </c>
      <c r="B19" s="16" t="s">
        <v>834</v>
      </c>
      <c r="C19" s="1"/>
      <c r="D19" s="1"/>
      <c r="E19" s="1"/>
      <c r="F19" s="1">
        <v>8</v>
      </c>
      <c r="G19" s="1">
        <v>1.4</v>
      </c>
      <c r="H19" s="1"/>
      <c r="I19" s="1"/>
      <c r="J19" s="1"/>
      <c r="K19" s="1"/>
      <c r="L19" s="1"/>
      <c r="M19" s="15"/>
      <c r="N19" s="1"/>
      <c r="O19" s="1"/>
      <c r="P19" s="1"/>
      <c r="Q19" s="1">
        <v>8</v>
      </c>
      <c r="R19" s="1">
        <f>(G19*0.2)+G19</f>
        <v>1.68</v>
      </c>
      <c r="S19" s="1"/>
      <c r="T19" s="1"/>
      <c r="U19" s="1"/>
    </row>
    <row r="20" spans="1:23" ht="16" x14ac:dyDescent="0.2">
      <c r="A20" s="15" t="s">
        <v>586</v>
      </c>
      <c r="B20" s="16" t="s">
        <v>835</v>
      </c>
      <c r="C20" s="1">
        <v>0.8</v>
      </c>
      <c r="D20" s="1">
        <v>2.7</v>
      </c>
      <c r="E20" s="1">
        <v>2.8</v>
      </c>
      <c r="F20" s="1">
        <v>6.3</v>
      </c>
      <c r="G20" s="1">
        <v>3.9</v>
      </c>
      <c r="H20" s="1">
        <v>0.8</v>
      </c>
      <c r="I20" s="1">
        <v>0.7</v>
      </c>
      <c r="J20" s="1">
        <v>0.6</v>
      </c>
      <c r="K20" s="1"/>
      <c r="L20" s="1"/>
      <c r="M20" s="15"/>
      <c r="N20" s="1">
        <v>0.8</v>
      </c>
      <c r="O20" s="1">
        <f t="shared" si="0"/>
        <v>2.97</v>
      </c>
      <c r="P20" s="1">
        <f>(E20*0.3)+E20</f>
        <v>3.6399999999999997</v>
      </c>
      <c r="Q20" s="1">
        <f>(F20*0.5)+F20</f>
        <v>9.4499999999999993</v>
      </c>
      <c r="R20" s="1">
        <f>(G20*0.7)+G20</f>
        <v>6.63</v>
      </c>
      <c r="S20" s="1">
        <f>(H20*0.9)+H20</f>
        <v>1.52</v>
      </c>
      <c r="T20" s="1">
        <f>(I20*1)+I20</f>
        <v>1.4</v>
      </c>
      <c r="U20" s="1">
        <f>(J20*1.2)+J20</f>
        <v>1.3199999999999998</v>
      </c>
    </row>
    <row r="21" spans="1:23" ht="16" x14ac:dyDescent="0.2">
      <c r="A21" s="15" t="s">
        <v>19</v>
      </c>
      <c r="B21" s="16" t="s">
        <v>1431</v>
      </c>
      <c r="C21" s="1"/>
      <c r="D21" s="1"/>
      <c r="E21" s="1"/>
      <c r="F21" s="1"/>
      <c r="G21" s="1"/>
      <c r="H21" s="1"/>
      <c r="I21" s="1"/>
      <c r="J21" s="1"/>
      <c r="K21" s="1">
        <v>7</v>
      </c>
      <c r="L21" s="1">
        <v>18</v>
      </c>
      <c r="M21" s="15"/>
      <c r="N21" s="1"/>
      <c r="O21" s="1"/>
      <c r="P21" s="1"/>
      <c r="Q21" s="1"/>
      <c r="R21" s="1"/>
      <c r="S21" s="1"/>
      <c r="T21" s="1"/>
      <c r="U21" s="1"/>
      <c r="V21" s="1">
        <v>7</v>
      </c>
      <c r="W21" s="1">
        <f>(L21*0.15)+L21</f>
        <v>20.7</v>
      </c>
    </row>
    <row r="22" spans="1:23" ht="16" x14ac:dyDescent="0.2">
      <c r="A22" s="15" t="s">
        <v>593</v>
      </c>
      <c r="B22" s="16" t="s">
        <v>1430</v>
      </c>
      <c r="C22" s="1"/>
      <c r="D22" s="1"/>
      <c r="E22" s="1"/>
      <c r="F22" s="1"/>
      <c r="G22" s="1"/>
      <c r="H22" s="1"/>
      <c r="I22" s="1"/>
      <c r="J22" s="1"/>
      <c r="K22" s="1">
        <v>5.8</v>
      </c>
      <c r="L22" s="1"/>
      <c r="M22" s="15"/>
      <c r="N22" s="1"/>
      <c r="O22" s="1"/>
      <c r="P22" s="1"/>
      <c r="Q22" s="1"/>
      <c r="R22" s="1"/>
      <c r="S22" s="1"/>
      <c r="T22" s="1"/>
      <c r="U22" s="1"/>
      <c r="V22" s="1">
        <v>5.8</v>
      </c>
    </row>
    <row r="23" spans="1:23" ht="16" x14ac:dyDescent="0.2">
      <c r="A23" s="15" t="s">
        <v>1433</v>
      </c>
      <c r="B23" s="16" t="s">
        <v>1432</v>
      </c>
      <c r="C23" s="1"/>
      <c r="D23" s="1"/>
      <c r="E23" s="1"/>
      <c r="F23" s="1"/>
      <c r="G23" s="1"/>
      <c r="H23" s="1"/>
      <c r="I23" s="1"/>
      <c r="J23" s="1"/>
      <c r="K23" s="1">
        <v>3.1</v>
      </c>
      <c r="L23" s="1"/>
      <c r="M23" s="15"/>
      <c r="N23" s="1"/>
      <c r="O23" s="1"/>
      <c r="P23" s="1"/>
      <c r="Q23" s="1"/>
      <c r="R23" s="1"/>
      <c r="S23" s="1"/>
      <c r="T23" s="1"/>
      <c r="U23" s="1"/>
      <c r="V23" s="1">
        <v>3.1</v>
      </c>
    </row>
    <row r="24" spans="1:23" ht="16" x14ac:dyDescent="0.2">
      <c r="A24" s="15" t="s">
        <v>283</v>
      </c>
      <c r="B24" s="16" t="s">
        <v>836</v>
      </c>
      <c r="C24" s="1"/>
      <c r="D24" s="1"/>
      <c r="E24" s="1"/>
      <c r="F24" s="1"/>
      <c r="G24" s="1">
        <v>3.5</v>
      </c>
      <c r="H24" s="1">
        <v>0.7</v>
      </c>
      <c r="I24" s="1">
        <v>0.3</v>
      </c>
      <c r="J24" s="1"/>
      <c r="K24" s="1"/>
      <c r="L24" s="1"/>
      <c r="M24" s="15"/>
      <c r="N24" s="1"/>
      <c r="O24" s="1"/>
      <c r="P24" s="1"/>
      <c r="Q24" s="1"/>
      <c r="R24" s="1">
        <v>3.5</v>
      </c>
      <c r="S24" s="1">
        <f>(H24*0.2)+H24</f>
        <v>0.84</v>
      </c>
      <c r="T24" s="1">
        <f>(I24*0.3)+I24</f>
        <v>0.39</v>
      </c>
      <c r="U24" s="1"/>
    </row>
    <row r="25" spans="1:23" ht="16" x14ac:dyDescent="0.2">
      <c r="A25" s="15" t="s">
        <v>587</v>
      </c>
      <c r="B25" s="16" t="s">
        <v>837</v>
      </c>
      <c r="C25" s="1"/>
      <c r="D25" s="1"/>
      <c r="E25" s="1"/>
      <c r="F25" s="1">
        <v>3.7</v>
      </c>
      <c r="G25" s="1"/>
      <c r="H25" s="1"/>
      <c r="I25" s="1"/>
      <c r="J25" s="1"/>
      <c r="K25" s="1"/>
      <c r="L25" s="1"/>
      <c r="M25" s="15"/>
      <c r="N25" s="1"/>
      <c r="O25" s="1"/>
      <c r="P25" s="1"/>
      <c r="Q25" s="1">
        <v>3.7</v>
      </c>
      <c r="R25" s="1"/>
      <c r="S25" s="1"/>
      <c r="T25" s="1"/>
      <c r="U25" s="1"/>
    </row>
    <row r="26" spans="1:23" ht="16" x14ac:dyDescent="0.2">
      <c r="A26" s="15" t="s">
        <v>588</v>
      </c>
      <c r="B26" s="16" t="s">
        <v>838</v>
      </c>
      <c r="C26" s="1"/>
      <c r="D26" s="1"/>
      <c r="E26" s="1"/>
      <c r="F26" s="1">
        <v>3.3</v>
      </c>
      <c r="G26" s="1">
        <v>0.6</v>
      </c>
      <c r="H26" s="1"/>
      <c r="I26" s="1"/>
      <c r="J26" s="1"/>
      <c r="K26" s="3">
        <v>0.1</v>
      </c>
      <c r="L26" s="3"/>
      <c r="M26" s="15"/>
      <c r="N26" s="1"/>
      <c r="O26" s="1"/>
      <c r="P26" s="1"/>
      <c r="Q26" s="1">
        <v>3.3</v>
      </c>
      <c r="R26" s="1">
        <f>(G26*0.2)+G26</f>
        <v>0.72</v>
      </c>
      <c r="S26" s="1"/>
      <c r="T26" s="1"/>
      <c r="U26" s="1"/>
      <c r="V26" s="1">
        <f>(K26*0.4)+K26</f>
        <v>0.14000000000000001</v>
      </c>
    </row>
    <row r="27" spans="1:23" ht="16" x14ac:dyDescent="0.2">
      <c r="A27" s="15" t="s">
        <v>589</v>
      </c>
      <c r="B27" s="16" t="s">
        <v>839</v>
      </c>
      <c r="C27" s="1"/>
      <c r="D27" s="1"/>
      <c r="E27" s="1">
        <v>8</v>
      </c>
      <c r="F27" s="1"/>
      <c r="G27" s="1"/>
      <c r="H27" s="1"/>
      <c r="I27" s="1"/>
      <c r="J27" s="1"/>
      <c r="K27" s="1"/>
      <c r="L27" s="1"/>
      <c r="M27" s="15"/>
      <c r="N27" s="1"/>
      <c r="O27" s="1"/>
      <c r="P27" s="1">
        <v>8</v>
      </c>
      <c r="Q27" s="1"/>
      <c r="R27" s="1"/>
      <c r="S27" s="1"/>
      <c r="T27" s="1"/>
      <c r="U27" s="1"/>
    </row>
    <row r="28" spans="1:23" ht="16" x14ac:dyDescent="0.2">
      <c r="A28" s="15" t="s">
        <v>576</v>
      </c>
      <c r="B28" s="16" t="s">
        <v>840</v>
      </c>
      <c r="C28" s="1">
        <v>7.4</v>
      </c>
      <c r="D28" s="1">
        <v>10.199999999999999</v>
      </c>
      <c r="E28" s="1"/>
      <c r="F28" s="1"/>
      <c r="G28" s="1"/>
      <c r="H28" s="1"/>
      <c r="I28" s="1"/>
      <c r="J28" s="1"/>
      <c r="K28" s="1"/>
      <c r="L28" s="1"/>
      <c r="M28" s="15"/>
      <c r="N28" s="1">
        <v>7.4</v>
      </c>
      <c r="O28" s="1">
        <f t="shared" si="0"/>
        <v>11.219999999999999</v>
      </c>
      <c r="P28" s="1"/>
      <c r="Q28" s="1"/>
      <c r="R28" s="1"/>
      <c r="S28" s="1"/>
      <c r="T28" s="1"/>
      <c r="U28" s="1"/>
    </row>
    <row r="29" spans="1:23" ht="16" x14ac:dyDescent="0.2">
      <c r="A29" s="15" t="s">
        <v>1510</v>
      </c>
      <c r="B29" s="16" t="s">
        <v>1509</v>
      </c>
      <c r="C29" s="1"/>
      <c r="D29" s="1"/>
      <c r="E29" s="1"/>
      <c r="F29" s="1"/>
      <c r="G29" s="1"/>
      <c r="H29" s="1"/>
      <c r="I29" s="1"/>
      <c r="J29" s="1"/>
      <c r="K29" s="1"/>
      <c r="L29" s="1">
        <v>14.7</v>
      </c>
      <c r="M29" s="15"/>
      <c r="N29" s="1"/>
      <c r="O29" s="1"/>
      <c r="P29" s="1"/>
      <c r="Q29" s="1"/>
      <c r="R29" s="1"/>
      <c r="S29" s="1"/>
      <c r="T29" s="1"/>
      <c r="U29" s="1"/>
      <c r="W29" s="1">
        <v>14.7</v>
      </c>
    </row>
    <row r="30" spans="1:23" ht="16" x14ac:dyDescent="0.2">
      <c r="A30" s="15" t="s">
        <v>1461</v>
      </c>
      <c r="B30" s="16" t="s">
        <v>1511</v>
      </c>
      <c r="C30" s="1"/>
      <c r="D30" s="1"/>
      <c r="E30" s="1"/>
      <c r="F30" s="1"/>
      <c r="G30" s="1"/>
      <c r="H30" s="1"/>
      <c r="I30" s="1"/>
      <c r="J30" s="1"/>
      <c r="K30" s="1"/>
      <c r="L30" s="1">
        <v>4.8</v>
      </c>
      <c r="M30" s="15"/>
      <c r="N30" s="1"/>
      <c r="O30" s="1"/>
      <c r="P30" s="1"/>
      <c r="Q30" s="1"/>
      <c r="R30" s="1"/>
      <c r="S30" s="1"/>
      <c r="T30" s="1"/>
      <c r="U30" s="1"/>
      <c r="W30" s="1">
        <v>4.8</v>
      </c>
    </row>
    <row r="31" spans="1:23" ht="16" x14ac:dyDescent="0.2">
      <c r="A31" s="8" t="s">
        <v>63</v>
      </c>
      <c r="B31" s="16" t="s">
        <v>841</v>
      </c>
      <c r="C31" s="1"/>
      <c r="D31" s="1"/>
      <c r="E31" s="1"/>
      <c r="F31" s="1"/>
      <c r="G31" s="1"/>
      <c r="H31" s="1">
        <v>12.1</v>
      </c>
      <c r="I31" s="1">
        <v>5.9</v>
      </c>
      <c r="J31" s="1">
        <v>12.1</v>
      </c>
      <c r="K31" s="1">
        <v>6.2</v>
      </c>
      <c r="L31" s="1">
        <v>6.3</v>
      </c>
      <c r="M31" s="8"/>
      <c r="N31" s="1"/>
      <c r="O31" s="1"/>
      <c r="P31" s="1"/>
      <c r="Q31" s="1"/>
      <c r="R31" s="1"/>
      <c r="S31" s="1">
        <v>12.1</v>
      </c>
      <c r="T31" s="1">
        <f>(I31*0.1)+I31</f>
        <v>6.49</v>
      </c>
      <c r="U31" s="1">
        <f>(J31*0.3)+J31</f>
        <v>15.73</v>
      </c>
      <c r="V31" s="1">
        <f>(K31*0.5)+K31</f>
        <v>9.3000000000000007</v>
      </c>
      <c r="W31" s="1">
        <f>(L31*0.65)+L31</f>
        <v>10.395</v>
      </c>
    </row>
    <row r="32" spans="1:23" ht="16" x14ac:dyDescent="0.2">
      <c r="A32" s="8" t="s">
        <v>64</v>
      </c>
      <c r="B32" s="16" t="s">
        <v>842</v>
      </c>
      <c r="C32" s="1"/>
      <c r="D32" s="1"/>
      <c r="E32" s="1"/>
      <c r="F32" s="1"/>
      <c r="G32" s="1"/>
      <c r="H32" s="1">
        <v>8.1</v>
      </c>
      <c r="I32" s="1">
        <v>6.9</v>
      </c>
      <c r="J32" s="1">
        <v>6.5</v>
      </c>
      <c r="K32" s="1">
        <v>2.1</v>
      </c>
      <c r="L32" s="1">
        <v>0.3</v>
      </c>
      <c r="M32" s="8"/>
      <c r="N32" s="1"/>
      <c r="O32" s="1"/>
      <c r="P32" s="1"/>
      <c r="Q32" s="1"/>
      <c r="R32" s="1"/>
      <c r="S32" s="1">
        <v>8.1</v>
      </c>
      <c r="T32" s="1">
        <f>(I32*0.1)+I32</f>
        <v>7.5900000000000007</v>
      </c>
      <c r="U32" s="1">
        <f>(J32*0.3)+J32</f>
        <v>8.4499999999999993</v>
      </c>
      <c r="V32" s="1">
        <f>(K32*0.5)+K32</f>
        <v>3.1500000000000004</v>
      </c>
      <c r="W32" s="1">
        <f>(L32*0.65)+L32</f>
        <v>0.495</v>
      </c>
    </row>
    <row r="33" spans="1:23" ht="16" x14ac:dyDescent="0.2">
      <c r="A33" s="8" t="s">
        <v>416</v>
      </c>
      <c r="B33" s="16" t="s">
        <v>843</v>
      </c>
      <c r="C33" s="1"/>
      <c r="D33" s="1"/>
      <c r="E33" s="1"/>
      <c r="F33" s="1"/>
      <c r="G33" s="1"/>
      <c r="H33" s="1"/>
      <c r="I33" s="1">
        <v>8.6</v>
      </c>
      <c r="J33" s="1">
        <v>11</v>
      </c>
      <c r="K33" s="1">
        <v>25</v>
      </c>
      <c r="L33" s="1">
        <v>8.9</v>
      </c>
      <c r="M33" s="8"/>
      <c r="N33" s="1"/>
      <c r="O33" s="1"/>
      <c r="P33" s="1"/>
      <c r="Q33" s="1"/>
      <c r="R33" s="1"/>
      <c r="S33" s="1"/>
      <c r="T33" s="1">
        <v>8.6</v>
      </c>
      <c r="U33" s="1">
        <f>(J33*0.2)+J33</f>
        <v>13.2</v>
      </c>
      <c r="V33" s="1">
        <f>(K33*0.4)+K33</f>
        <v>35</v>
      </c>
      <c r="W33" s="1">
        <f>(L33*0.55)+L33</f>
        <v>13.795000000000002</v>
      </c>
    </row>
    <row r="34" spans="1:23" x14ac:dyDescent="0.2">
      <c r="M34" s="3" t="s">
        <v>14</v>
      </c>
      <c r="N34" s="1">
        <f t="shared" ref="N34:T34" si="6">SUM(N2:N33)</f>
        <v>91.399999999999991</v>
      </c>
      <c r="O34" s="1">
        <f t="shared" si="6"/>
        <v>103.12999999999998</v>
      </c>
      <c r="P34" s="1">
        <f t="shared" si="6"/>
        <v>114.64</v>
      </c>
      <c r="Q34" s="1">
        <f t="shared" si="6"/>
        <v>115.94</v>
      </c>
      <c r="R34" s="1">
        <f t="shared" si="6"/>
        <v>135.35000000000002</v>
      </c>
      <c r="S34" s="1">
        <f t="shared" si="6"/>
        <v>135.38999999999999</v>
      </c>
      <c r="T34" s="1">
        <f t="shared" si="6"/>
        <v>137.88999999999999</v>
      </c>
      <c r="U34" s="1">
        <f>SUM(U2:U33)</f>
        <v>147.40999999999997</v>
      </c>
      <c r="V34" s="1">
        <f>SUM(V2:V33)</f>
        <v>147.25</v>
      </c>
      <c r="W34" s="1">
        <f>SUM(W2:W33)</f>
        <v>157.84500000000003</v>
      </c>
    </row>
    <row r="35" spans="1:23" x14ac:dyDescent="0.2">
      <c r="V35" s="1"/>
    </row>
    <row r="36" spans="1:23" x14ac:dyDescent="0.2">
      <c r="N36" s="1">
        <v>100</v>
      </c>
      <c r="O36" s="1">
        <v>110</v>
      </c>
      <c r="P36" s="1">
        <v>130</v>
      </c>
      <c r="Q36" s="1">
        <v>150</v>
      </c>
      <c r="R36" s="1">
        <v>170</v>
      </c>
      <c r="S36" s="1">
        <v>190</v>
      </c>
      <c r="T36" s="1">
        <v>200</v>
      </c>
      <c r="U36" s="1">
        <v>220</v>
      </c>
      <c r="V36" s="1">
        <v>240</v>
      </c>
      <c r="W36" s="1">
        <v>255</v>
      </c>
    </row>
    <row r="38" spans="1:23" x14ac:dyDescent="0.2">
      <c r="N38" s="1">
        <f>N34</f>
        <v>91.399999999999991</v>
      </c>
      <c r="O38" s="1">
        <f>SUM(N38+O34)</f>
        <v>194.52999999999997</v>
      </c>
      <c r="P38" s="1">
        <f>SUM(O38+P34)</f>
        <v>309.16999999999996</v>
      </c>
      <c r="Q38" s="1">
        <f>SUM(P38+Q34)</f>
        <v>425.10999999999996</v>
      </c>
      <c r="R38" s="1">
        <f t="shared" ref="R38:W38" si="7">SUM(Q38+R34)</f>
        <v>560.46</v>
      </c>
      <c r="S38" s="1">
        <f t="shared" si="7"/>
        <v>695.85</v>
      </c>
      <c r="T38" s="1">
        <f t="shared" si="7"/>
        <v>833.74</v>
      </c>
      <c r="U38" s="1">
        <f t="shared" si="7"/>
        <v>981.15</v>
      </c>
      <c r="V38" s="1">
        <f t="shared" si="7"/>
        <v>1128.4000000000001</v>
      </c>
      <c r="W38" s="1">
        <f t="shared" si="7"/>
        <v>1286.2450000000001</v>
      </c>
    </row>
    <row r="39" spans="1:23" x14ac:dyDescent="0.2">
      <c r="N39" s="3"/>
      <c r="O39" s="3"/>
      <c r="P39" s="3"/>
      <c r="Q39" s="3"/>
      <c r="R39" s="1"/>
      <c r="T39" s="1"/>
    </row>
    <row r="40" spans="1:23" x14ac:dyDescent="0.2">
      <c r="N40" s="1">
        <v>100</v>
      </c>
      <c r="O40" s="1">
        <f>SUM(N40+O36)</f>
        <v>210</v>
      </c>
      <c r="P40" s="1">
        <f>SUM(O40+P36)</f>
        <v>340</v>
      </c>
      <c r="Q40" s="1">
        <f>SUM(P40+Q36)</f>
        <v>490</v>
      </c>
      <c r="R40" s="1">
        <f t="shared" ref="R40:W40" si="8">SUM(Q40+R36)</f>
        <v>660</v>
      </c>
      <c r="S40" s="1">
        <f t="shared" si="8"/>
        <v>850</v>
      </c>
      <c r="T40" s="1">
        <f t="shared" si="8"/>
        <v>1050</v>
      </c>
      <c r="U40" s="1">
        <f t="shared" si="8"/>
        <v>1270</v>
      </c>
      <c r="V40" s="1">
        <f t="shared" si="8"/>
        <v>1510</v>
      </c>
      <c r="W40" s="1">
        <f t="shared" si="8"/>
        <v>1765</v>
      </c>
    </row>
    <row r="41" spans="1:23" ht="16" x14ac:dyDescent="0.2">
      <c r="A41" s="15"/>
      <c r="B41" s="15"/>
      <c r="C41" s="16"/>
    </row>
    <row r="42" spans="1:23" ht="16" x14ac:dyDescent="0.2">
      <c r="A42" s="15"/>
      <c r="B42" s="15"/>
      <c r="C42" s="16"/>
      <c r="N42" s="4" t="s">
        <v>1563</v>
      </c>
      <c r="O42" s="4" t="s">
        <v>1563</v>
      </c>
      <c r="P42" s="4" t="s">
        <v>1563</v>
      </c>
      <c r="Q42" s="4" t="s">
        <v>1563</v>
      </c>
      <c r="R42" s="4" t="s">
        <v>1563</v>
      </c>
      <c r="S42" s="4" t="s">
        <v>1563</v>
      </c>
      <c r="T42" s="4" t="s">
        <v>1563</v>
      </c>
      <c r="U42" s="4" t="s">
        <v>1563</v>
      </c>
      <c r="V42" s="4" t="s">
        <v>1563</v>
      </c>
      <c r="W42" s="4" t="s">
        <v>1563</v>
      </c>
    </row>
    <row r="43" spans="1:23" ht="16" x14ac:dyDescent="0.2">
      <c r="A43" s="15"/>
      <c r="B43" s="15"/>
      <c r="C43" s="16"/>
      <c r="N43" s="6">
        <f>(N38/N40)*100</f>
        <v>91.399999999999991</v>
      </c>
      <c r="O43" s="6">
        <f>(O38/O40)*100</f>
        <v>92.633333333333326</v>
      </c>
      <c r="P43" s="6">
        <f>(P38/P40)*100</f>
        <v>90.932352941176447</v>
      </c>
      <c r="Q43" s="6">
        <f>(Q38/Q40)*100</f>
        <v>86.757142857142838</v>
      </c>
      <c r="R43" s="6">
        <f t="shared" ref="R43:W43" si="9">(R38/R40)*100</f>
        <v>84.918181818181822</v>
      </c>
      <c r="S43" s="6">
        <f t="shared" si="9"/>
        <v>81.864705882352936</v>
      </c>
      <c r="T43" s="6">
        <f t="shared" si="9"/>
        <v>79.403809523809514</v>
      </c>
      <c r="U43" s="6">
        <f t="shared" si="9"/>
        <v>77.255905511811022</v>
      </c>
      <c r="V43" s="6">
        <f t="shared" si="9"/>
        <v>74.728476821192061</v>
      </c>
      <c r="W43" s="6">
        <f t="shared" si="9"/>
        <v>72.875070821529746</v>
      </c>
    </row>
    <row r="44" spans="1:23" ht="16" x14ac:dyDescent="0.2">
      <c r="A44" s="15"/>
      <c r="B44" s="15"/>
      <c r="C44" s="16"/>
    </row>
    <row r="45" spans="1:23" ht="16" x14ac:dyDescent="0.2">
      <c r="A45" s="15"/>
      <c r="B45" s="15"/>
      <c r="C45" s="16"/>
    </row>
    <row r="46" spans="1:23" ht="16" x14ac:dyDescent="0.2">
      <c r="A46" s="15"/>
      <c r="B46" s="15"/>
      <c r="C46" s="16"/>
    </row>
    <row r="47" spans="1:23" ht="16" x14ac:dyDescent="0.2">
      <c r="A47" s="15"/>
      <c r="B47" s="15"/>
      <c r="C47" s="16"/>
    </row>
    <row r="48" spans="1:23" ht="16" x14ac:dyDescent="0.2">
      <c r="A48" s="15"/>
      <c r="B48" s="15"/>
      <c r="C48" s="16"/>
    </row>
    <row r="49" spans="1:3" ht="16" x14ac:dyDescent="0.2">
      <c r="A49" s="15"/>
      <c r="B49" s="15"/>
      <c r="C49" s="16"/>
    </row>
    <row r="50" spans="1:3" ht="16" x14ac:dyDescent="0.2">
      <c r="A50" s="15"/>
      <c r="B50" s="15"/>
      <c r="C50" s="16"/>
    </row>
    <row r="51" spans="1:3" ht="16" x14ac:dyDescent="0.2">
      <c r="A51" s="15"/>
      <c r="B51" s="15"/>
      <c r="C51" s="16"/>
    </row>
    <row r="52" spans="1:3" ht="16" x14ac:dyDescent="0.2">
      <c r="A52" s="15"/>
      <c r="B52" s="15"/>
      <c r="C52" s="16"/>
    </row>
    <row r="53" spans="1:3" ht="16" x14ac:dyDescent="0.2">
      <c r="A53" s="15"/>
      <c r="B53" s="15"/>
      <c r="C53" s="16"/>
    </row>
    <row r="54" spans="1:3" ht="16" x14ac:dyDescent="0.2">
      <c r="A54" s="15"/>
      <c r="B54" s="15"/>
      <c r="C54" s="16"/>
    </row>
    <row r="55" spans="1:3" ht="16" x14ac:dyDescent="0.2">
      <c r="A55" s="15"/>
      <c r="B55" s="15"/>
      <c r="C55" s="16"/>
    </row>
    <row r="56" spans="1:3" ht="16" x14ac:dyDescent="0.2">
      <c r="A56" s="15"/>
      <c r="B56" s="15"/>
      <c r="C56" s="16"/>
    </row>
    <row r="57" spans="1:3" ht="16" x14ac:dyDescent="0.2">
      <c r="A57" s="15"/>
      <c r="B57" s="15"/>
      <c r="C57" s="16"/>
    </row>
    <row r="58" spans="1:3" ht="16" x14ac:dyDescent="0.2">
      <c r="A58" s="15"/>
      <c r="B58" s="15"/>
      <c r="C58" s="16"/>
    </row>
    <row r="59" spans="1:3" ht="16" x14ac:dyDescent="0.2">
      <c r="A59" s="15"/>
      <c r="B59" s="15"/>
      <c r="C59" s="16"/>
    </row>
    <row r="60" spans="1:3" ht="16" x14ac:dyDescent="0.2">
      <c r="A60" s="15"/>
      <c r="B60" s="15"/>
      <c r="C60" s="16"/>
    </row>
    <row r="61" spans="1:3" ht="16" x14ac:dyDescent="0.2">
      <c r="A61" s="15"/>
      <c r="B61" s="15"/>
      <c r="C61" s="16"/>
    </row>
    <row r="62" spans="1:3" ht="16" x14ac:dyDescent="0.2">
      <c r="A62" s="15"/>
      <c r="B62" s="15"/>
      <c r="C62" s="16"/>
    </row>
    <row r="63" spans="1:3" ht="16" x14ac:dyDescent="0.2">
      <c r="A63" s="15"/>
      <c r="B63" s="15"/>
      <c r="C63" s="16"/>
    </row>
    <row r="64" spans="1:3" ht="16" x14ac:dyDescent="0.2">
      <c r="A64" s="15"/>
      <c r="B64" s="15"/>
      <c r="C64" s="16"/>
    </row>
    <row r="65" spans="1:3" ht="16" x14ac:dyDescent="0.2">
      <c r="A65" s="15"/>
      <c r="B65" s="15"/>
      <c r="C65" s="16"/>
    </row>
    <row r="66" spans="1:3" ht="16" x14ac:dyDescent="0.2">
      <c r="A66" s="15"/>
      <c r="B66" s="15"/>
      <c r="C66" s="16"/>
    </row>
    <row r="67" spans="1:3" ht="16" x14ac:dyDescent="0.2">
      <c r="A67" s="17"/>
      <c r="B67" s="17"/>
      <c r="C67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U51"/>
  <sheetViews>
    <sheetView topLeftCell="F1" workbookViewId="0">
      <selection activeCell="M32" sqref="M32:U32"/>
    </sheetView>
  </sheetViews>
  <sheetFormatPr baseColWidth="10" defaultRowHeight="15" x14ac:dyDescent="0.2"/>
  <cols>
    <col min="2" max="2" width="34.6640625" customWidth="1"/>
  </cols>
  <sheetData>
    <row r="1" spans="1:21" ht="16" x14ac:dyDescent="0.2">
      <c r="A1" s="3" t="s">
        <v>15</v>
      </c>
      <c r="B1" s="24" t="s">
        <v>681</v>
      </c>
      <c r="C1" s="3">
        <v>1992</v>
      </c>
      <c r="D1" s="3">
        <v>1996</v>
      </c>
      <c r="E1" s="3">
        <v>2000</v>
      </c>
      <c r="F1" s="3">
        <v>2004</v>
      </c>
      <c r="G1" s="3">
        <v>2008</v>
      </c>
      <c r="H1" s="3">
        <v>2011</v>
      </c>
      <c r="I1" s="3">
        <v>2014</v>
      </c>
      <c r="J1" s="3">
        <v>2018</v>
      </c>
      <c r="K1" s="3">
        <v>2022</v>
      </c>
      <c r="M1" s="3">
        <v>1992</v>
      </c>
      <c r="N1" s="3">
        <v>1996</v>
      </c>
      <c r="O1" s="3">
        <v>2000</v>
      </c>
      <c r="P1" s="3">
        <v>2004</v>
      </c>
      <c r="Q1" s="3">
        <v>2008</v>
      </c>
      <c r="R1" s="3">
        <v>2011</v>
      </c>
      <c r="S1" s="3">
        <v>2014</v>
      </c>
      <c r="T1" s="3">
        <v>2018</v>
      </c>
      <c r="U1" s="3">
        <v>2022</v>
      </c>
    </row>
    <row r="2" spans="1:21" ht="16" x14ac:dyDescent="0.2">
      <c r="A2" s="8" t="s">
        <v>115</v>
      </c>
      <c r="B2" s="16" t="s">
        <v>801</v>
      </c>
      <c r="C2" s="1">
        <v>3.3</v>
      </c>
      <c r="D2" s="1">
        <v>16.100000000000001</v>
      </c>
      <c r="E2" s="1">
        <v>15.8</v>
      </c>
      <c r="F2" s="1">
        <v>29.1</v>
      </c>
      <c r="G2" s="1">
        <v>29.3</v>
      </c>
      <c r="H2" s="1">
        <v>26.2</v>
      </c>
      <c r="I2" s="1">
        <v>20.7</v>
      </c>
      <c r="J2" s="1">
        <v>24.9</v>
      </c>
      <c r="K2" s="1">
        <v>23.5</v>
      </c>
      <c r="M2" s="1">
        <v>3.3</v>
      </c>
      <c r="N2" s="1">
        <f>(D2*0.2)+D2</f>
        <v>19.32</v>
      </c>
      <c r="O2" s="1">
        <f>(E2*0.4)+E2</f>
        <v>22.12</v>
      </c>
      <c r="P2" s="1">
        <f>(F2*0.6)+F2</f>
        <v>46.56</v>
      </c>
      <c r="Q2" s="1">
        <f>(G2*0.8)+G2</f>
        <v>52.74</v>
      </c>
      <c r="R2" s="1">
        <f>(H2*0.95)+H2</f>
        <v>51.089999999999996</v>
      </c>
      <c r="S2" s="1">
        <f>(I2*1.1)+I2</f>
        <v>43.47</v>
      </c>
      <c r="T2" s="1">
        <f t="shared" ref="T2:T3" si="0">(J2*1.3)+J2</f>
        <v>57.269999999999996</v>
      </c>
      <c r="U2" s="1">
        <f>(K2*1.5)+K2</f>
        <v>58.75</v>
      </c>
    </row>
    <row r="3" spans="1:21" ht="16" x14ac:dyDescent="0.2">
      <c r="A3" s="8" t="s">
        <v>149</v>
      </c>
      <c r="B3" s="16" t="s">
        <v>802</v>
      </c>
      <c r="C3" s="1">
        <v>13.6</v>
      </c>
      <c r="D3" s="1">
        <v>9</v>
      </c>
      <c r="E3" s="1">
        <v>12.1</v>
      </c>
      <c r="F3" s="1">
        <v>10.199999999999999</v>
      </c>
      <c r="G3" s="1">
        <v>30.5</v>
      </c>
      <c r="H3" s="1">
        <v>10.5</v>
      </c>
      <c r="I3" s="1">
        <v>6</v>
      </c>
      <c r="J3" s="1">
        <v>9.9</v>
      </c>
      <c r="K3" s="1">
        <v>6.7</v>
      </c>
      <c r="M3" s="1">
        <v>13.6</v>
      </c>
      <c r="N3" s="1">
        <f>(D3*0.2)+D3</f>
        <v>10.8</v>
      </c>
      <c r="O3" s="1">
        <f t="shared" ref="O3:O8" si="1">(E3*0.4)+E3</f>
        <v>16.939999999999998</v>
      </c>
      <c r="P3" s="1">
        <f t="shared" ref="P3:P8" si="2">(F3*0.6)+F3</f>
        <v>16.32</v>
      </c>
      <c r="Q3" s="1">
        <f t="shared" ref="Q3:Q8" si="3">(G3*0.8)+G3</f>
        <v>54.900000000000006</v>
      </c>
      <c r="R3" s="1">
        <f t="shared" ref="R3:R8" si="4">(H3*0.95)+H3</f>
        <v>20.475000000000001</v>
      </c>
      <c r="S3" s="1">
        <f t="shared" ref="S3:S8" si="5">(I3*1.1)+I3</f>
        <v>12.600000000000001</v>
      </c>
      <c r="T3" s="1">
        <f t="shared" si="0"/>
        <v>22.770000000000003</v>
      </c>
      <c r="U3" s="1">
        <f t="shared" ref="U3:U4" si="6">(K3*1.5)+K3</f>
        <v>16.75</v>
      </c>
    </row>
    <row r="4" spans="1:21" ht="16" x14ac:dyDescent="0.2">
      <c r="A4" s="8" t="s">
        <v>144</v>
      </c>
      <c r="B4" s="16" t="s">
        <v>803</v>
      </c>
      <c r="C4" s="1">
        <v>8.6999999999999993</v>
      </c>
      <c r="D4" s="1">
        <v>19.399999999999999</v>
      </c>
      <c r="E4" s="1">
        <v>9.5</v>
      </c>
      <c r="F4" s="1">
        <v>6.8</v>
      </c>
      <c r="G4" s="1">
        <v>5.2</v>
      </c>
      <c r="H4" s="1">
        <v>6.8</v>
      </c>
      <c r="I4" s="1">
        <v>4</v>
      </c>
      <c r="J4" s="1">
        <v>2.6</v>
      </c>
      <c r="K4" s="1">
        <v>3.4</v>
      </c>
      <c r="M4" s="1">
        <v>8.6999999999999993</v>
      </c>
      <c r="N4" s="1">
        <f>(D4*0.2)+D4</f>
        <v>23.279999999999998</v>
      </c>
      <c r="O4" s="1">
        <f t="shared" si="1"/>
        <v>13.3</v>
      </c>
      <c r="P4" s="1">
        <f t="shared" si="2"/>
        <v>10.879999999999999</v>
      </c>
      <c r="Q4" s="1">
        <f t="shared" si="3"/>
        <v>9.36</v>
      </c>
      <c r="R4" s="1">
        <f t="shared" si="4"/>
        <v>13.26</v>
      </c>
      <c r="S4" s="1">
        <f t="shared" si="5"/>
        <v>8.4</v>
      </c>
      <c r="T4" s="1">
        <f>(J4*1.3)+J4</f>
        <v>5.98</v>
      </c>
      <c r="U4" s="1">
        <f t="shared" si="6"/>
        <v>8.5</v>
      </c>
    </row>
    <row r="5" spans="1:21" ht="16" x14ac:dyDescent="0.2">
      <c r="A5" s="8" t="s">
        <v>1498</v>
      </c>
      <c r="B5" s="16" t="s">
        <v>1128</v>
      </c>
      <c r="C5" s="1"/>
      <c r="D5" s="1"/>
      <c r="E5" s="1"/>
      <c r="F5" s="1"/>
      <c r="G5" s="1"/>
      <c r="H5" s="1"/>
      <c r="I5" s="1"/>
      <c r="J5" s="1"/>
      <c r="K5" s="1">
        <v>34.5</v>
      </c>
      <c r="M5" s="1"/>
      <c r="N5" s="1"/>
      <c r="O5" s="1"/>
      <c r="P5" s="1"/>
      <c r="Q5" s="1"/>
      <c r="R5" s="1"/>
      <c r="S5" s="1"/>
      <c r="T5" s="1"/>
      <c r="U5" s="1">
        <v>34.5</v>
      </c>
    </row>
    <row r="6" spans="1:21" ht="16" x14ac:dyDescent="0.2">
      <c r="A6" s="8" t="s">
        <v>799</v>
      </c>
      <c r="B6" s="16" t="s">
        <v>804</v>
      </c>
      <c r="C6" s="1">
        <v>23.5</v>
      </c>
      <c r="I6" s="1"/>
      <c r="M6" s="1">
        <v>23.5</v>
      </c>
      <c r="S6" s="1"/>
    </row>
    <row r="7" spans="1:21" ht="16" x14ac:dyDescent="0.2">
      <c r="A7" s="8" t="s">
        <v>800</v>
      </c>
      <c r="B7" s="16" t="s">
        <v>804</v>
      </c>
      <c r="C7" s="1"/>
      <c r="D7" s="1">
        <v>27</v>
      </c>
      <c r="E7" s="1">
        <v>36.299999999999997</v>
      </c>
      <c r="F7" s="1">
        <v>22.8</v>
      </c>
      <c r="G7" s="1">
        <v>5.2</v>
      </c>
      <c r="H7" s="1">
        <v>1.5</v>
      </c>
      <c r="I7" s="1"/>
      <c r="M7" s="1"/>
      <c r="N7" s="1">
        <v>27</v>
      </c>
      <c r="O7" s="1">
        <f>(E7*0.2)+E7</f>
        <v>43.559999999999995</v>
      </c>
      <c r="P7" s="1">
        <f>(F7*0.4)+F7</f>
        <v>31.92</v>
      </c>
      <c r="Q7" s="1">
        <f>(G7*0.6)+G7</f>
        <v>8.32</v>
      </c>
      <c r="R7" s="1">
        <f>(H7*0.75)+H7</f>
        <v>2.625</v>
      </c>
      <c r="S7" s="1"/>
    </row>
    <row r="8" spans="1:21" ht="16" x14ac:dyDescent="0.2">
      <c r="A8" s="8" t="s">
        <v>59</v>
      </c>
      <c r="B8" s="16" t="s">
        <v>805</v>
      </c>
      <c r="C8" s="1">
        <v>10</v>
      </c>
      <c r="D8" s="1">
        <v>3.2</v>
      </c>
      <c r="E8" s="1">
        <v>4.4000000000000004</v>
      </c>
      <c r="F8" s="1">
        <v>6.3</v>
      </c>
      <c r="G8" s="1">
        <v>5.4</v>
      </c>
      <c r="H8" s="1">
        <v>1.8</v>
      </c>
      <c r="I8" s="1">
        <v>2.2000000000000002</v>
      </c>
      <c r="J8" s="1">
        <v>4.2</v>
      </c>
      <c r="K8" s="1">
        <v>1.5</v>
      </c>
      <c r="M8" s="1">
        <v>10</v>
      </c>
      <c r="N8" s="1">
        <f>(D8*0.2)+D8</f>
        <v>3.8400000000000003</v>
      </c>
      <c r="O8" s="1">
        <f t="shared" si="1"/>
        <v>6.16</v>
      </c>
      <c r="P8" s="1">
        <f t="shared" si="2"/>
        <v>10.08</v>
      </c>
      <c r="Q8" s="1">
        <f t="shared" si="3"/>
        <v>9.7200000000000006</v>
      </c>
      <c r="R8" s="1">
        <f t="shared" si="4"/>
        <v>3.51</v>
      </c>
      <c r="S8" s="1">
        <f t="shared" si="5"/>
        <v>4.620000000000001</v>
      </c>
      <c r="T8" s="1">
        <f>(J8*1.3)+J8</f>
        <v>9.66</v>
      </c>
      <c r="U8" s="1">
        <f>(K8*1.5)+K8</f>
        <v>3.75</v>
      </c>
    </row>
    <row r="9" spans="1:21" ht="16" x14ac:dyDescent="0.2">
      <c r="A9" s="8" t="s">
        <v>590</v>
      </c>
      <c r="B9" s="16" t="s">
        <v>590</v>
      </c>
      <c r="C9" s="1"/>
      <c r="D9" s="1"/>
      <c r="E9" s="1"/>
      <c r="F9" s="1"/>
      <c r="G9" s="1">
        <v>9.4</v>
      </c>
      <c r="H9" s="1">
        <v>0.7</v>
      </c>
      <c r="I9" s="1"/>
      <c r="M9" s="1"/>
      <c r="N9" s="1"/>
      <c r="O9" s="1"/>
      <c r="P9" s="1"/>
      <c r="Q9" s="1">
        <v>9.4</v>
      </c>
      <c r="R9" s="1">
        <f>(H9*0.5)+H9</f>
        <v>1.0499999999999998</v>
      </c>
      <c r="S9" s="1"/>
    </row>
    <row r="10" spans="1:21" ht="16" x14ac:dyDescent="0.2">
      <c r="A10" s="8" t="s">
        <v>630</v>
      </c>
      <c r="B10" s="16" t="s">
        <v>971</v>
      </c>
      <c r="C10" s="1"/>
      <c r="D10" s="1"/>
      <c r="E10" s="1"/>
      <c r="F10" s="1"/>
      <c r="G10" s="1"/>
      <c r="H10" s="1"/>
      <c r="I10" s="1"/>
      <c r="J10" s="1">
        <v>9.3000000000000007</v>
      </c>
      <c r="K10" s="1">
        <v>4.5</v>
      </c>
      <c r="M10" s="1"/>
      <c r="N10" s="1"/>
      <c r="O10" s="1"/>
      <c r="P10" s="1"/>
      <c r="Q10" s="1"/>
      <c r="R10" s="1"/>
      <c r="S10" s="1"/>
      <c r="T10" s="1">
        <v>9.3000000000000007</v>
      </c>
      <c r="U10" s="1">
        <f>(K10*0.2)+K10</f>
        <v>5.4</v>
      </c>
    </row>
    <row r="11" spans="1:21" ht="16" x14ac:dyDescent="0.2">
      <c r="A11" s="8" t="s">
        <v>593</v>
      </c>
      <c r="B11" s="16" t="s">
        <v>806</v>
      </c>
      <c r="C11" s="1"/>
      <c r="D11" s="1"/>
      <c r="E11" s="1"/>
      <c r="F11" s="1"/>
      <c r="G11" s="1"/>
      <c r="H11" s="1"/>
      <c r="I11" s="1">
        <v>6</v>
      </c>
      <c r="M11" s="1"/>
      <c r="N11" s="1"/>
      <c r="O11" s="1"/>
      <c r="P11" s="1"/>
      <c r="Q11" s="1"/>
      <c r="R11" s="1"/>
      <c r="S11" s="1">
        <v>6</v>
      </c>
    </row>
    <row r="12" spans="1:21" ht="16" x14ac:dyDescent="0.2">
      <c r="A12" s="15" t="s">
        <v>594</v>
      </c>
      <c r="B12" s="16" t="s">
        <v>807</v>
      </c>
      <c r="C12" s="1"/>
      <c r="D12" s="1"/>
      <c r="E12" s="1"/>
      <c r="F12" s="1"/>
      <c r="G12" s="1"/>
      <c r="H12" s="1"/>
      <c r="I12" s="1">
        <v>4</v>
      </c>
      <c r="J12" s="1">
        <v>5.0999999999999996</v>
      </c>
      <c r="K12" s="1">
        <v>2.6</v>
      </c>
      <c r="M12" s="1"/>
      <c r="N12" s="1"/>
      <c r="O12" s="1"/>
      <c r="P12" s="1"/>
      <c r="Q12" s="1"/>
      <c r="R12" s="1"/>
      <c r="S12" s="1">
        <v>4</v>
      </c>
      <c r="T12" s="1">
        <f t="shared" ref="T12:T13" si="7">(J12*0.2)+J12</f>
        <v>6.1199999999999992</v>
      </c>
      <c r="U12" s="1">
        <f>(K12*0.4)+K12</f>
        <v>3.64</v>
      </c>
    </row>
    <row r="13" spans="1:21" ht="16" x14ac:dyDescent="0.2">
      <c r="A13" s="8" t="s">
        <v>592</v>
      </c>
      <c r="B13" s="16" t="s">
        <v>808</v>
      </c>
      <c r="C13" s="1"/>
      <c r="D13" s="1"/>
      <c r="E13" s="1"/>
      <c r="F13" s="1"/>
      <c r="G13" s="1"/>
      <c r="H13" s="1"/>
      <c r="I13" s="1">
        <v>34.5</v>
      </c>
      <c r="J13" s="1">
        <v>9.8000000000000007</v>
      </c>
      <c r="K13" s="1"/>
      <c r="M13" s="1"/>
      <c r="N13" s="1"/>
      <c r="O13" s="1"/>
      <c r="P13" s="1"/>
      <c r="Q13" s="1"/>
      <c r="R13" s="1"/>
      <c r="S13" s="1">
        <v>34.5</v>
      </c>
      <c r="T13" s="1">
        <f t="shared" si="7"/>
        <v>11.760000000000002</v>
      </c>
      <c r="U13" s="1"/>
    </row>
    <row r="14" spans="1:21" ht="16" x14ac:dyDescent="0.2">
      <c r="A14" s="8" t="s">
        <v>19</v>
      </c>
      <c r="B14" s="16" t="s">
        <v>809</v>
      </c>
      <c r="C14" s="1"/>
      <c r="D14" s="1"/>
      <c r="E14" s="1"/>
      <c r="F14" s="1"/>
      <c r="G14" s="1"/>
      <c r="H14" s="1">
        <v>28.5</v>
      </c>
      <c r="I14" s="1">
        <v>3</v>
      </c>
      <c r="M14" s="1"/>
      <c r="N14" s="1"/>
      <c r="O14" s="1"/>
      <c r="P14" s="1"/>
      <c r="Q14" s="1"/>
      <c r="R14" s="1">
        <v>28.5</v>
      </c>
      <c r="S14" s="1">
        <f>(I14*0.15)+I14</f>
        <v>3.45</v>
      </c>
      <c r="T14" s="1"/>
    </row>
    <row r="15" spans="1:21" ht="16" x14ac:dyDescent="0.2">
      <c r="A15" s="8" t="s">
        <v>109</v>
      </c>
      <c r="B15" s="16" t="s">
        <v>810</v>
      </c>
      <c r="C15" s="1"/>
      <c r="D15" s="1"/>
      <c r="E15" s="1"/>
      <c r="F15" s="1"/>
      <c r="G15" s="1"/>
      <c r="H15" s="1">
        <v>8.4</v>
      </c>
      <c r="I15" s="1">
        <v>0.6</v>
      </c>
      <c r="M15" s="1"/>
      <c r="N15" s="1"/>
      <c r="O15" s="1"/>
      <c r="P15" s="1"/>
      <c r="Q15" s="1"/>
      <c r="R15" s="1">
        <v>8.4</v>
      </c>
      <c r="S15" s="1">
        <f>(I15*0.15)+I15</f>
        <v>0.69</v>
      </c>
    </row>
    <row r="16" spans="1:21" ht="16" x14ac:dyDescent="0.2">
      <c r="A16" s="8" t="s">
        <v>595</v>
      </c>
      <c r="B16" s="16" t="s">
        <v>811</v>
      </c>
      <c r="C16" s="1"/>
      <c r="D16" s="1"/>
      <c r="E16" s="1"/>
      <c r="F16" s="1">
        <v>3</v>
      </c>
      <c r="G16" s="1"/>
      <c r="H16" s="1"/>
      <c r="I16" s="1"/>
      <c r="M16" s="1"/>
      <c r="N16" s="1"/>
      <c r="O16" s="1"/>
      <c r="P16" s="1">
        <v>3</v>
      </c>
      <c r="Q16" s="1"/>
      <c r="R16" s="1"/>
      <c r="S16" s="1"/>
    </row>
    <row r="17" spans="1:21" ht="16" x14ac:dyDescent="0.2">
      <c r="A17" s="8" t="s">
        <v>152</v>
      </c>
      <c r="B17" s="16" t="s">
        <v>812</v>
      </c>
      <c r="C17" s="1">
        <v>14.5</v>
      </c>
      <c r="D17" s="1">
        <v>9.6</v>
      </c>
      <c r="M17" s="1">
        <v>14.5</v>
      </c>
      <c r="N17" s="1">
        <f>(D17*0.2)+D17</f>
        <v>11.52</v>
      </c>
      <c r="O17" s="1"/>
      <c r="P17" s="1"/>
      <c r="Q17" s="1"/>
      <c r="R17" s="1"/>
      <c r="S17" s="1"/>
    </row>
    <row r="18" spans="1:21" ht="16" x14ac:dyDescent="0.2">
      <c r="A18" s="8" t="s">
        <v>591</v>
      </c>
      <c r="B18" s="16" t="s">
        <v>813</v>
      </c>
      <c r="C18" s="1"/>
      <c r="D18" s="1"/>
      <c r="E18" s="1">
        <v>4.3</v>
      </c>
      <c r="F18" s="1">
        <v>2.1</v>
      </c>
      <c r="H18" s="1">
        <v>0.9</v>
      </c>
      <c r="M18" s="1"/>
      <c r="N18" s="1"/>
      <c r="O18" s="1">
        <v>4.3</v>
      </c>
      <c r="P18" s="1">
        <f>(F18*0.2)+F18</f>
        <v>2.52</v>
      </c>
      <c r="Q18" s="1"/>
      <c r="R18" s="1">
        <f>(H18*0.6)+H18</f>
        <v>1.44</v>
      </c>
      <c r="S18" s="1"/>
    </row>
    <row r="19" spans="1:21" ht="16" x14ac:dyDescent="0.2">
      <c r="A19" s="8" t="s">
        <v>200</v>
      </c>
      <c r="B19" s="16" t="s">
        <v>814</v>
      </c>
      <c r="C19" s="1">
        <v>5</v>
      </c>
      <c r="D19" s="1"/>
      <c r="M19" s="1">
        <v>5</v>
      </c>
      <c r="N19" s="1"/>
      <c r="O19" s="1"/>
      <c r="P19" s="1"/>
      <c r="Q19" s="1"/>
      <c r="R19" s="1"/>
      <c r="S19" s="1"/>
    </row>
    <row r="20" spans="1:21" ht="16" x14ac:dyDescent="0.2">
      <c r="A20" s="8" t="s">
        <v>472</v>
      </c>
      <c r="B20" s="16" t="s">
        <v>815</v>
      </c>
      <c r="C20" s="1">
        <v>3.7</v>
      </c>
      <c r="D20" s="1">
        <v>1.8</v>
      </c>
      <c r="E20" s="1">
        <v>0.9</v>
      </c>
      <c r="F20" s="1">
        <v>0.7</v>
      </c>
      <c r="G20" s="1">
        <v>0.5</v>
      </c>
      <c r="H20" s="1">
        <v>0.4</v>
      </c>
      <c r="I20" s="1">
        <v>0.5</v>
      </c>
      <c r="J20" s="1">
        <v>1.1000000000000001</v>
      </c>
      <c r="K20" s="1"/>
      <c r="M20" s="1">
        <v>3.7</v>
      </c>
      <c r="N20" s="1">
        <f>(D20*0.2)+D20</f>
        <v>2.16</v>
      </c>
      <c r="O20" s="1">
        <f>(E20*0.4)+E20</f>
        <v>1.26</v>
      </c>
      <c r="P20" s="1">
        <f>(F20*0.6)+F20</f>
        <v>1.1199999999999999</v>
      </c>
      <c r="Q20" s="1">
        <f>(G20*0.8)+G20</f>
        <v>0.9</v>
      </c>
      <c r="R20" s="1">
        <f>(H20*0.95)+H20</f>
        <v>0.78</v>
      </c>
      <c r="S20" s="1">
        <f>(I20*1.1)+I20</f>
        <v>1.05</v>
      </c>
      <c r="T20" s="1">
        <f>(J20*1.3)+J20</f>
        <v>2.5300000000000002</v>
      </c>
      <c r="U20" s="1"/>
    </row>
    <row r="21" spans="1:21" ht="16" x14ac:dyDescent="0.2">
      <c r="A21" s="8" t="s">
        <v>1357</v>
      </c>
      <c r="B21" s="16" t="s">
        <v>1358</v>
      </c>
      <c r="C21" s="1"/>
      <c r="D21" s="1"/>
      <c r="E21" s="1"/>
      <c r="F21" s="1"/>
      <c r="G21" s="1"/>
      <c r="H21" s="1"/>
      <c r="I21" s="1"/>
      <c r="J21" s="1">
        <v>12.6</v>
      </c>
      <c r="K21" s="1">
        <v>3.7</v>
      </c>
      <c r="M21" s="1"/>
      <c r="N21" s="1"/>
      <c r="O21" s="1"/>
      <c r="P21" s="1"/>
      <c r="Q21" s="1"/>
      <c r="R21" s="1"/>
      <c r="S21" s="1"/>
      <c r="T21" s="1">
        <v>12.6</v>
      </c>
      <c r="U21" s="1">
        <f>(K21*0.2)+K21</f>
        <v>4.4400000000000004</v>
      </c>
    </row>
    <row r="22" spans="1:21" ht="16" x14ac:dyDescent="0.2">
      <c r="A22" s="8" t="s">
        <v>150</v>
      </c>
      <c r="B22" s="16" t="s">
        <v>816</v>
      </c>
      <c r="C22" s="1"/>
      <c r="D22" s="1">
        <v>4.3</v>
      </c>
      <c r="E22" s="1">
        <v>5.2</v>
      </c>
      <c r="F22" s="1">
        <v>4</v>
      </c>
      <c r="G22" s="1">
        <v>7.5</v>
      </c>
      <c r="H22" s="1">
        <v>7</v>
      </c>
      <c r="I22" s="1">
        <v>10.199999999999999</v>
      </c>
      <c r="J22" s="1">
        <v>4.9000000000000004</v>
      </c>
      <c r="K22" s="1">
        <v>0.7</v>
      </c>
      <c r="M22" s="1"/>
      <c r="N22" s="1">
        <v>4.3</v>
      </c>
      <c r="O22" s="1">
        <f>(E22*0.2)+E22</f>
        <v>6.24</v>
      </c>
      <c r="P22" s="1">
        <f>(F22*0.4)+F22</f>
        <v>5.6</v>
      </c>
      <c r="Q22" s="1">
        <f>(G22*0.6)+G22</f>
        <v>12</v>
      </c>
      <c r="R22" s="1">
        <f>(H22*0.75)+H22</f>
        <v>12.25</v>
      </c>
      <c r="S22" s="1">
        <f>(I22*0.9)+I22</f>
        <v>19.38</v>
      </c>
      <c r="T22" s="1">
        <f>(J22*1.1)+J22</f>
        <v>10.290000000000001</v>
      </c>
      <c r="U22" s="1">
        <f>(K22*1.3)+K22</f>
        <v>1.6099999999999999</v>
      </c>
    </row>
    <row r="23" spans="1:21" ht="16" x14ac:dyDescent="0.2">
      <c r="A23" s="8" t="s">
        <v>151</v>
      </c>
      <c r="B23" s="16" t="s">
        <v>817</v>
      </c>
      <c r="C23" s="1"/>
      <c r="D23" s="1"/>
      <c r="E23" s="1">
        <v>8.6999999999999993</v>
      </c>
      <c r="F23" s="1">
        <v>9.1</v>
      </c>
      <c r="G23" s="1">
        <v>3.4</v>
      </c>
      <c r="H23" s="1">
        <v>4.9000000000000004</v>
      </c>
      <c r="I23" s="1">
        <v>5.6</v>
      </c>
      <c r="J23" s="1">
        <v>7.2</v>
      </c>
      <c r="K23" s="1">
        <v>6.9</v>
      </c>
      <c r="M23" s="1"/>
      <c r="N23" s="1"/>
      <c r="O23" s="1">
        <v>8.6999999999999993</v>
      </c>
      <c r="P23" s="1">
        <f>(F23*0.2)+F23</f>
        <v>10.92</v>
      </c>
      <c r="Q23" s="1">
        <f>(G23*0.4)+G23</f>
        <v>4.76</v>
      </c>
      <c r="R23" s="1">
        <f>(H23*0.55)+H23</f>
        <v>7.5950000000000006</v>
      </c>
      <c r="S23" s="1">
        <f>(I23*0.7)+I23</f>
        <v>9.52</v>
      </c>
      <c r="T23" s="1">
        <f>(J23*0.9)+J23</f>
        <v>13.68</v>
      </c>
      <c r="U23" s="1">
        <f>(K23*1.1)+K23</f>
        <v>14.490000000000002</v>
      </c>
    </row>
    <row r="24" spans="1:21" x14ac:dyDescent="0.2">
      <c r="L24" s="3" t="s">
        <v>14</v>
      </c>
      <c r="M24" s="1">
        <f t="shared" ref="M24:U24" si="8">SUM(M2:M23)</f>
        <v>82.3</v>
      </c>
      <c r="N24" s="1">
        <f t="shared" si="8"/>
        <v>102.22</v>
      </c>
      <c r="O24" s="1">
        <f t="shared" si="8"/>
        <v>122.57999999999998</v>
      </c>
      <c r="P24" s="1">
        <f t="shared" si="8"/>
        <v>138.91999999999999</v>
      </c>
      <c r="Q24" s="1">
        <f t="shared" si="8"/>
        <v>162.10000000000002</v>
      </c>
      <c r="R24" s="1">
        <f t="shared" si="8"/>
        <v>150.97499999999999</v>
      </c>
      <c r="S24" s="1">
        <f t="shared" si="8"/>
        <v>147.68</v>
      </c>
      <c r="T24" s="1">
        <f t="shared" si="8"/>
        <v>161.96</v>
      </c>
      <c r="U24" s="1">
        <f t="shared" si="8"/>
        <v>151.83000000000001</v>
      </c>
    </row>
    <row r="26" spans="1:21" x14ac:dyDescent="0.2">
      <c r="M26" s="1">
        <v>100</v>
      </c>
      <c r="N26" s="1">
        <v>120</v>
      </c>
      <c r="O26" s="1">
        <v>140</v>
      </c>
      <c r="P26" s="1">
        <v>160</v>
      </c>
      <c r="Q26" s="1">
        <v>180</v>
      </c>
      <c r="R26" s="1">
        <v>195</v>
      </c>
      <c r="S26" s="1">
        <v>210</v>
      </c>
      <c r="T26" s="1">
        <v>230</v>
      </c>
      <c r="U26" s="1">
        <v>250</v>
      </c>
    </row>
    <row r="28" spans="1:21" x14ac:dyDescent="0.2">
      <c r="M28" s="1">
        <f>M24</f>
        <v>82.3</v>
      </c>
      <c r="N28" s="1">
        <f>SUM(M28+N24)</f>
        <v>184.51999999999998</v>
      </c>
      <c r="O28" s="1">
        <f>SUM(N28+O24)</f>
        <v>307.09999999999997</v>
      </c>
      <c r="P28" s="1">
        <f>SUM(O28+P24)</f>
        <v>446.02</v>
      </c>
      <c r="Q28" s="1">
        <f t="shared" ref="Q28:U28" si="9">SUM(P28+Q24)</f>
        <v>608.12</v>
      </c>
      <c r="R28" s="1">
        <f t="shared" si="9"/>
        <v>759.09500000000003</v>
      </c>
      <c r="S28" s="1">
        <f t="shared" si="9"/>
        <v>906.77500000000009</v>
      </c>
      <c r="T28" s="1">
        <f t="shared" si="9"/>
        <v>1068.7350000000001</v>
      </c>
      <c r="U28" s="1">
        <f t="shared" si="9"/>
        <v>1220.5650000000001</v>
      </c>
    </row>
    <row r="29" spans="1:21" x14ac:dyDescent="0.2">
      <c r="M29" s="3"/>
      <c r="N29" s="3"/>
      <c r="O29" s="3"/>
      <c r="P29" s="3"/>
      <c r="Q29" s="1"/>
      <c r="S29" s="1"/>
    </row>
    <row r="30" spans="1:21" x14ac:dyDescent="0.2">
      <c r="M30" s="1">
        <v>100</v>
      </c>
      <c r="N30" s="1">
        <f>SUM(M30+N26)</f>
        <v>220</v>
      </c>
      <c r="O30" s="1">
        <f>SUM(N30+O26)</f>
        <v>360</v>
      </c>
      <c r="P30" s="1">
        <f>SUM(O30+P26)</f>
        <v>520</v>
      </c>
      <c r="Q30" s="1">
        <f t="shared" ref="Q30:U30" si="10">SUM(P30+Q26)</f>
        <v>700</v>
      </c>
      <c r="R30" s="1">
        <f t="shared" si="10"/>
        <v>895</v>
      </c>
      <c r="S30" s="1">
        <f t="shared" si="10"/>
        <v>1105</v>
      </c>
      <c r="T30" s="1">
        <f t="shared" si="10"/>
        <v>1335</v>
      </c>
      <c r="U30" s="1">
        <f t="shared" si="10"/>
        <v>1585</v>
      </c>
    </row>
    <row r="32" spans="1:21" ht="16" x14ac:dyDescent="0.2">
      <c r="A32" s="1"/>
      <c r="B32" s="1"/>
      <c r="C32" s="16"/>
      <c r="D32" s="16"/>
      <c r="M32" s="4" t="s">
        <v>1563</v>
      </c>
      <c r="N32" s="4" t="s">
        <v>1563</v>
      </c>
      <c r="O32" s="4" t="s">
        <v>1563</v>
      </c>
      <c r="P32" s="4" t="s">
        <v>1563</v>
      </c>
      <c r="Q32" s="4" t="s">
        <v>1563</v>
      </c>
      <c r="R32" s="4" t="s">
        <v>1563</v>
      </c>
      <c r="S32" s="4" t="s">
        <v>1563</v>
      </c>
      <c r="T32" s="4" t="s">
        <v>1563</v>
      </c>
      <c r="U32" s="4" t="s">
        <v>1563</v>
      </c>
    </row>
    <row r="33" spans="1:21" ht="16" x14ac:dyDescent="0.2">
      <c r="A33" s="1"/>
      <c r="B33" s="1"/>
      <c r="C33" s="16"/>
      <c r="D33" s="16"/>
      <c r="M33" s="6">
        <f>(M28/M30)*100</f>
        <v>82.3</v>
      </c>
      <c r="N33" s="6">
        <f>(N28/N30)*100</f>
        <v>83.872727272727261</v>
      </c>
      <c r="O33" s="6">
        <f>(O28/O30)*100</f>
        <v>85.305555555555543</v>
      </c>
      <c r="P33" s="6">
        <f>(P28/P30)*100</f>
        <v>85.773076923076914</v>
      </c>
      <c r="Q33" s="6">
        <f t="shared" ref="Q33:U33" si="11">(Q28/Q30)*100</f>
        <v>86.874285714285719</v>
      </c>
      <c r="R33" s="6">
        <f t="shared" si="11"/>
        <v>84.815083798882682</v>
      </c>
      <c r="S33" s="6">
        <f t="shared" si="11"/>
        <v>82.061085972850691</v>
      </c>
      <c r="T33" s="6">
        <f t="shared" si="11"/>
        <v>80.055056179775292</v>
      </c>
      <c r="U33" s="6">
        <f t="shared" si="11"/>
        <v>77.007255520504742</v>
      </c>
    </row>
    <row r="34" spans="1:21" ht="16" x14ac:dyDescent="0.2">
      <c r="A34" s="1"/>
      <c r="B34" s="1"/>
      <c r="C34" s="16"/>
      <c r="D34" s="16"/>
    </row>
    <row r="35" spans="1:21" ht="16" x14ac:dyDescent="0.2">
      <c r="A35" s="1"/>
      <c r="B35" s="1"/>
      <c r="C35" s="16"/>
      <c r="D35" s="16"/>
    </row>
    <row r="36" spans="1:21" ht="16" x14ac:dyDescent="0.2">
      <c r="A36" s="1"/>
      <c r="B36" s="1"/>
      <c r="C36" s="16"/>
      <c r="D36" s="16"/>
    </row>
    <row r="37" spans="1:21" ht="16" x14ac:dyDescent="0.2">
      <c r="A37" s="15"/>
      <c r="B37" s="15"/>
      <c r="C37" s="16"/>
      <c r="D37" s="16"/>
    </row>
    <row r="38" spans="1:21" ht="16" x14ac:dyDescent="0.2">
      <c r="A38" s="15"/>
      <c r="B38" s="15"/>
      <c r="C38" s="16"/>
      <c r="D38" s="16"/>
    </row>
    <row r="39" spans="1:21" ht="16" x14ac:dyDescent="0.2">
      <c r="A39" s="15"/>
      <c r="B39" s="15"/>
      <c r="C39" s="16"/>
      <c r="D39" s="16"/>
    </row>
    <row r="40" spans="1:21" ht="16" x14ac:dyDescent="0.2">
      <c r="A40" s="15"/>
      <c r="B40" s="15"/>
      <c r="C40" s="16"/>
      <c r="D40" s="16"/>
    </row>
    <row r="41" spans="1:21" ht="16" x14ac:dyDescent="0.2">
      <c r="A41" s="15"/>
      <c r="B41" s="15"/>
      <c r="C41" s="16"/>
      <c r="D41" s="16"/>
    </row>
    <row r="42" spans="1:21" ht="16" x14ac:dyDescent="0.2">
      <c r="A42" s="1"/>
      <c r="B42" s="1"/>
      <c r="C42" s="16"/>
      <c r="D42" s="16"/>
    </row>
    <row r="43" spans="1:21" ht="16" x14ac:dyDescent="0.2">
      <c r="A43" s="1"/>
      <c r="B43" s="1"/>
      <c r="C43" s="16"/>
      <c r="D43" s="16"/>
    </row>
    <row r="44" spans="1:21" ht="16" x14ac:dyDescent="0.2">
      <c r="A44" s="1"/>
      <c r="B44" s="1"/>
      <c r="C44" s="16"/>
      <c r="D44" s="16"/>
    </row>
    <row r="45" spans="1:21" ht="16" x14ac:dyDescent="0.2">
      <c r="A45" s="1"/>
      <c r="B45" s="1"/>
      <c r="C45" s="16"/>
      <c r="D45" s="16"/>
    </row>
    <row r="46" spans="1:21" ht="16" x14ac:dyDescent="0.2">
      <c r="A46" s="15"/>
      <c r="B46" s="15"/>
      <c r="C46" s="16"/>
      <c r="D46" s="16"/>
    </row>
    <row r="47" spans="1:21" ht="16" x14ac:dyDescent="0.2">
      <c r="A47" s="15"/>
      <c r="B47" s="15"/>
      <c r="C47" s="16"/>
      <c r="D47" s="16"/>
    </row>
    <row r="48" spans="1:21" ht="16" x14ac:dyDescent="0.2">
      <c r="A48" s="15"/>
      <c r="B48" s="15"/>
      <c r="C48" s="16"/>
      <c r="D48" s="16"/>
    </row>
    <row r="49" spans="1:4" ht="16" x14ac:dyDescent="0.2">
      <c r="A49" s="15"/>
      <c r="B49" s="15"/>
      <c r="C49" s="16"/>
      <c r="D49" s="16"/>
    </row>
    <row r="50" spans="1:4" ht="16" x14ac:dyDescent="0.2">
      <c r="A50" s="15"/>
      <c r="B50" s="15"/>
      <c r="C50" s="16"/>
      <c r="D50" s="16"/>
    </row>
    <row r="51" spans="1:4" ht="16" x14ac:dyDescent="0.2">
      <c r="A51" s="15"/>
      <c r="B51" s="15"/>
      <c r="C51" s="16"/>
      <c r="D51" s="16"/>
    </row>
  </sheetData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40"/>
  <sheetViews>
    <sheetView workbookViewId="0">
      <selection activeCell="H26" sqref="H26:J26"/>
    </sheetView>
  </sheetViews>
  <sheetFormatPr baseColWidth="10" defaultRowHeight="15" x14ac:dyDescent="0.2"/>
  <cols>
    <col min="2" max="2" width="41.6640625" customWidth="1"/>
  </cols>
  <sheetData>
    <row r="1" spans="1:10" ht="16" x14ac:dyDescent="0.2">
      <c r="A1" s="3" t="s">
        <v>15</v>
      </c>
      <c r="B1" s="24" t="s">
        <v>681</v>
      </c>
      <c r="C1" s="3">
        <v>1931</v>
      </c>
      <c r="D1" s="3">
        <v>1933</v>
      </c>
      <c r="E1" s="3">
        <v>1936</v>
      </c>
      <c r="H1" s="3">
        <v>1931</v>
      </c>
      <c r="I1" s="3">
        <v>1933</v>
      </c>
      <c r="J1" s="3">
        <v>1936</v>
      </c>
    </row>
    <row r="2" spans="1:10" ht="16" x14ac:dyDescent="0.2">
      <c r="A2" s="8" t="s">
        <v>337</v>
      </c>
      <c r="B2" s="16" t="s">
        <v>784</v>
      </c>
      <c r="C2" s="1">
        <v>1.8</v>
      </c>
      <c r="D2" s="1">
        <v>3.8</v>
      </c>
      <c r="E2" s="1">
        <v>2.7</v>
      </c>
      <c r="H2" s="1">
        <v>1.8</v>
      </c>
      <c r="I2" s="1">
        <f>(D2*0.1)+D2</f>
        <v>4.18</v>
      </c>
      <c r="J2" s="1">
        <f>(E2*0.25)+E2</f>
        <v>3.375</v>
      </c>
    </row>
    <row r="3" spans="1:10" ht="16" x14ac:dyDescent="0.2">
      <c r="A3" s="8" t="s">
        <v>227</v>
      </c>
      <c r="B3" s="16" t="s">
        <v>785</v>
      </c>
      <c r="C3" s="1">
        <v>3</v>
      </c>
      <c r="D3" s="1">
        <v>7.5</v>
      </c>
      <c r="E3" s="1">
        <v>2.6</v>
      </c>
      <c r="H3" s="1">
        <v>3</v>
      </c>
      <c r="I3" s="1">
        <f t="shared" ref="I3:I13" si="0">(D3*0.1)+D3</f>
        <v>8.25</v>
      </c>
      <c r="J3" s="1">
        <f t="shared" ref="J3:J13" si="1">(E3*0.25)+E3</f>
        <v>3.25</v>
      </c>
    </row>
    <row r="4" spans="1:10" ht="16" x14ac:dyDescent="0.2">
      <c r="A4" s="8" t="s">
        <v>596</v>
      </c>
      <c r="B4" s="16" t="s">
        <v>786</v>
      </c>
      <c r="C4" s="1">
        <v>8.9</v>
      </c>
      <c r="D4" s="1"/>
      <c r="E4" s="1"/>
      <c r="H4" s="1">
        <v>8.9</v>
      </c>
      <c r="I4" s="1"/>
      <c r="J4" s="1"/>
    </row>
    <row r="5" spans="1:10" ht="16" x14ac:dyDescent="0.2">
      <c r="A5" s="8" t="s">
        <v>597</v>
      </c>
      <c r="B5" s="16" t="s">
        <v>787</v>
      </c>
      <c r="C5" s="1"/>
      <c r="D5" s="1"/>
      <c r="E5" s="1">
        <v>5.9</v>
      </c>
      <c r="H5" s="1"/>
      <c r="I5" s="1"/>
      <c r="J5" s="1">
        <f t="shared" si="1"/>
        <v>7.375</v>
      </c>
    </row>
    <row r="6" spans="1:10" ht="16" x14ac:dyDescent="0.2">
      <c r="A6" s="8" t="s">
        <v>599</v>
      </c>
      <c r="B6" s="16" t="s">
        <v>788</v>
      </c>
      <c r="C6" s="1"/>
      <c r="D6" s="1"/>
      <c r="E6" s="1">
        <v>13.7</v>
      </c>
      <c r="H6" s="1"/>
      <c r="I6" s="1"/>
      <c r="J6" s="1">
        <v>13.7</v>
      </c>
    </row>
    <row r="7" spans="1:10" ht="16" x14ac:dyDescent="0.2">
      <c r="A7" s="8" t="s">
        <v>222</v>
      </c>
      <c r="B7" s="16" t="s">
        <v>789</v>
      </c>
      <c r="C7" s="1">
        <v>13.2</v>
      </c>
      <c r="D7" s="1">
        <v>14.3</v>
      </c>
      <c r="E7" s="1">
        <v>3.6</v>
      </c>
      <c r="H7" s="1">
        <v>13.2</v>
      </c>
      <c r="I7" s="1">
        <f t="shared" si="0"/>
        <v>15.73</v>
      </c>
      <c r="J7" s="1">
        <f t="shared" si="1"/>
        <v>4.5</v>
      </c>
    </row>
    <row r="8" spans="1:10" ht="16" x14ac:dyDescent="0.2">
      <c r="A8" s="8" t="s">
        <v>338</v>
      </c>
      <c r="B8" s="16" t="s">
        <v>790</v>
      </c>
      <c r="C8" s="1">
        <v>3.2</v>
      </c>
      <c r="D8" s="1">
        <v>1.1000000000000001</v>
      </c>
      <c r="E8" s="1">
        <v>0.3</v>
      </c>
      <c r="H8" s="1">
        <v>3.2</v>
      </c>
      <c r="I8" s="1">
        <f t="shared" si="0"/>
        <v>1.2100000000000002</v>
      </c>
      <c r="J8" s="1">
        <f t="shared" si="1"/>
        <v>0.375</v>
      </c>
    </row>
    <row r="9" spans="1:10" ht="16" x14ac:dyDescent="0.2">
      <c r="A9" s="8" t="s">
        <v>220</v>
      </c>
      <c r="B9" s="16" t="s">
        <v>775</v>
      </c>
      <c r="C9" s="1">
        <v>21.4</v>
      </c>
      <c r="D9" s="1">
        <v>19.399999999999999</v>
      </c>
      <c r="E9" s="1">
        <v>16.399999999999999</v>
      </c>
      <c r="H9" s="1">
        <v>21.4</v>
      </c>
      <c r="I9" s="1">
        <f t="shared" si="0"/>
        <v>21.34</v>
      </c>
      <c r="J9" s="1">
        <f t="shared" si="1"/>
        <v>20.5</v>
      </c>
    </row>
    <row r="10" spans="1:10" ht="16" x14ac:dyDescent="0.2">
      <c r="A10" s="8" t="s">
        <v>225</v>
      </c>
      <c r="B10" s="16" t="s">
        <v>791</v>
      </c>
      <c r="C10" s="1">
        <v>11.8</v>
      </c>
      <c r="D10" s="1">
        <v>1.4</v>
      </c>
      <c r="E10" s="1">
        <v>5.9</v>
      </c>
      <c r="H10" s="1">
        <v>11.8</v>
      </c>
      <c r="I10" s="1">
        <f t="shared" si="0"/>
        <v>1.5399999999999998</v>
      </c>
      <c r="J10" s="1">
        <f t="shared" si="1"/>
        <v>7.375</v>
      </c>
    </row>
    <row r="11" spans="1:10" ht="16" x14ac:dyDescent="0.2">
      <c r="A11" s="8" t="s">
        <v>221</v>
      </c>
      <c r="B11" s="16" t="s">
        <v>792</v>
      </c>
      <c r="C11" s="1">
        <v>4.0999999999999996</v>
      </c>
      <c r="D11" s="1">
        <v>2.6</v>
      </c>
      <c r="E11" s="1">
        <v>13.7</v>
      </c>
      <c r="H11" s="1">
        <v>4.0999999999999996</v>
      </c>
      <c r="I11" s="1">
        <f t="shared" si="0"/>
        <v>2.8600000000000003</v>
      </c>
      <c r="J11" s="1">
        <f t="shared" si="1"/>
        <v>17.125</v>
      </c>
    </row>
    <row r="12" spans="1:10" ht="16" x14ac:dyDescent="0.2">
      <c r="A12" s="8" t="s">
        <v>1</v>
      </c>
      <c r="B12" s="16" t="s">
        <v>793</v>
      </c>
      <c r="C12" s="1">
        <v>6.7</v>
      </c>
      <c r="D12" s="1">
        <v>3.7</v>
      </c>
      <c r="E12" s="1">
        <v>4.5</v>
      </c>
      <c r="H12" s="1">
        <v>6.7</v>
      </c>
      <c r="I12" s="1">
        <f t="shared" si="0"/>
        <v>4.07</v>
      </c>
      <c r="J12" s="1">
        <f t="shared" si="1"/>
        <v>5.625</v>
      </c>
    </row>
    <row r="13" spans="1:10" ht="16" x14ac:dyDescent="0.2">
      <c r="A13" s="8" t="s">
        <v>341</v>
      </c>
      <c r="B13" s="16" t="s">
        <v>794</v>
      </c>
      <c r="C13" s="1">
        <v>1</v>
      </c>
      <c r="D13" s="1">
        <v>4.3</v>
      </c>
      <c r="E13" s="1">
        <v>3.4</v>
      </c>
      <c r="H13" s="1">
        <v>1</v>
      </c>
      <c r="I13" s="1">
        <f t="shared" si="0"/>
        <v>4.7299999999999995</v>
      </c>
      <c r="J13" s="1">
        <f t="shared" si="1"/>
        <v>4.25</v>
      </c>
    </row>
    <row r="14" spans="1:10" ht="16" x14ac:dyDescent="0.2">
      <c r="A14" s="8" t="s">
        <v>598</v>
      </c>
      <c r="B14" s="16" t="s">
        <v>795</v>
      </c>
      <c r="C14" s="1"/>
      <c r="D14" s="1"/>
      <c r="E14" s="1">
        <v>5.0999999999999996</v>
      </c>
      <c r="H14" s="1"/>
      <c r="I14" s="1"/>
      <c r="J14" s="1">
        <v>5.0999999999999996</v>
      </c>
    </row>
    <row r="15" spans="1:10" ht="16" x14ac:dyDescent="0.2">
      <c r="A15" s="8" t="s">
        <v>339</v>
      </c>
      <c r="B15" s="16" t="s">
        <v>796</v>
      </c>
      <c r="C15" s="1"/>
      <c r="D15" s="1">
        <v>3.9</v>
      </c>
      <c r="E15" s="1">
        <v>0.8</v>
      </c>
      <c r="H15" s="1"/>
      <c r="I15" s="1">
        <v>3.9</v>
      </c>
      <c r="J15" s="1">
        <f t="shared" ref="J15:J17" si="2">(E15*0.15)+E15</f>
        <v>0.92</v>
      </c>
    </row>
    <row r="16" spans="1:10" ht="16" x14ac:dyDescent="0.2">
      <c r="A16" s="8" t="s">
        <v>340</v>
      </c>
      <c r="B16" s="16" t="s">
        <v>797</v>
      </c>
      <c r="C16" s="1"/>
      <c r="D16" s="1">
        <v>2.8</v>
      </c>
      <c r="E16" s="1">
        <v>3.8</v>
      </c>
      <c r="H16" s="1"/>
      <c r="I16" s="1">
        <v>2.8</v>
      </c>
      <c r="J16" s="1">
        <f t="shared" si="2"/>
        <v>4.37</v>
      </c>
    </row>
    <row r="17" spans="1:12" ht="16" x14ac:dyDescent="0.2">
      <c r="A17" s="8" t="s">
        <v>224</v>
      </c>
      <c r="B17" s="16" t="s">
        <v>798</v>
      </c>
      <c r="C17" s="1"/>
      <c r="D17" s="1">
        <v>13.9</v>
      </c>
      <c r="E17" s="1">
        <v>23.2</v>
      </c>
      <c r="H17" s="1"/>
      <c r="I17" s="1">
        <v>13.9</v>
      </c>
      <c r="J17" s="1">
        <f t="shared" si="2"/>
        <v>26.68</v>
      </c>
      <c r="L17" s="4" t="s">
        <v>16</v>
      </c>
    </row>
    <row r="18" spans="1:12" x14ac:dyDescent="0.2">
      <c r="G18" s="3" t="s">
        <v>14</v>
      </c>
      <c r="H18" s="1">
        <f>SUM(H2:H17)</f>
        <v>75.099999999999994</v>
      </c>
      <c r="I18" s="1">
        <f t="shared" ref="I18:J18" si="3">SUM(I2:I17)</f>
        <v>84.51</v>
      </c>
      <c r="J18" s="1">
        <f t="shared" si="3"/>
        <v>124.52000000000001</v>
      </c>
      <c r="K18" s="1">
        <f>SUM(H18:J18)</f>
        <v>284.13</v>
      </c>
      <c r="L18" s="5">
        <f>(K18/K20)*100</f>
        <v>84.814925373134329</v>
      </c>
    </row>
    <row r="20" spans="1:12" x14ac:dyDescent="0.2">
      <c r="H20" s="1">
        <v>100</v>
      </c>
      <c r="I20" s="1">
        <v>110</v>
      </c>
      <c r="J20" s="1">
        <v>125</v>
      </c>
      <c r="K20" s="1">
        <f>SUM(H20:J20)</f>
        <v>335</v>
      </c>
    </row>
    <row r="22" spans="1:12" x14ac:dyDescent="0.2">
      <c r="H22" s="1">
        <f>H18</f>
        <v>75.099999999999994</v>
      </c>
      <c r="I22" s="1">
        <f>SUM(H22+I18)</f>
        <v>159.61000000000001</v>
      </c>
      <c r="J22" s="1">
        <f>SUM(I22+J18)</f>
        <v>284.13</v>
      </c>
    </row>
    <row r="23" spans="1:12" x14ac:dyDescent="0.2">
      <c r="H23" s="3"/>
      <c r="I23" s="3"/>
      <c r="J23" s="3"/>
    </row>
    <row r="24" spans="1:12" x14ac:dyDescent="0.2">
      <c r="H24" s="1">
        <v>100</v>
      </c>
      <c r="I24" s="1">
        <f>SUM(H24+I20)</f>
        <v>210</v>
      </c>
      <c r="J24" s="1">
        <f>SUM(I24+J20)</f>
        <v>335</v>
      </c>
    </row>
    <row r="25" spans="1:12" ht="16" x14ac:dyDescent="0.2">
      <c r="A25" s="1"/>
      <c r="B25" s="1"/>
      <c r="C25" s="16"/>
    </row>
    <row r="26" spans="1:12" ht="16" x14ac:dyDescent="0.2">
      <c r="A26" s="1"/>
      <c r="B26" s="1"/>
      <c r="C26" s="16"/>
      <c r="H26" s="4" t="s">
        <v>1563</v>
      </c>
      <c r="I26" s="4" t="s">
        <v>1563</v>
      </c>
      <c r="J26" s="4" t="s">
        <v>1563</v>
      </c>
    </row>
    <row r="27" spans="1:12" ht="16" x14ac:dyDescent="0.2">
      <c r="A27" s="15"/>
      <c r="B27" s="15"/>
      <c r="C27" s="16"/>
      <c r="H27" s="6">
        <f>(H22/H24)*100</f>
        <v>75.099999999999994</v>
      </c>
      <c r="I27" s="6">
        <f>(I22/I24)*100</f>
        <v>76.004761904761907</v>
      </c>
      <c r="J27" s="6">
        <f>(J22/J24)*100</f>
        <v>84.814925373134329</v>
      </c>
    </row>
    <row r="28" spans="1:12" ht="16" x14ac:dyDescent="0.2">
      <c r="A28" s="15"/>
      <c r="B28" s="15"/>
      <c r="C28" s="16"/>
      <c r="H28" s="4"/>
      <c r="I28" s="4"/>
      <c r="J28" s="4"/>
    </row>
    <row r="29" spans="1:12" ht="16" x14ac:dyDescent="0.2">
      <c r="A29" s="15"/>
      <c r="B29" s="15"/>
      <c r="C29" s="16"/>
      <c r="H29" s="6"/>
      <c r="I29" s="6"/>
      <c r="J29" s="6"/>
    </row>
    <row r="30" spans="1:12" ht="16" x14ac:dyDescent="0.2">
      <c r="A30" s="15"/>
      <c r="B30" s="15"/>
      <c r="C30" s="16"/>
    </row>
    <row r="31" spans="1:12" ht="16" x14ac:dyDescent="0.2">
      <c r="A31" s="15"/>
      <c r="B31" s="15"/>
      <c r="C31" s="16"/>
    </row>
    <row r="32" spans="1:12" ht="16" x14ac:dyDescent="0.2">
      <c r="A32" s="15"/>
      <c r="B32" s="15"/>
      <c r="C32" s="16"/>
    </row>
    <row r="33" spans="1:3" ht="16" x14ac:dyDescent="0.2">
      <c r="A33" s="15"/>
      <c r="B33" s="15"/>
      <c r="C33" s="16"/>
    </row>
    <row r="34" spans="1:3" ht="16" x14ac:dyDescent="0.2">
      <c r="A34" s="15"/>
      <c r="B34" s="15"/>
      <c r="C34" s="16"/>
    </row>
    <row r="35" spans="1:3" ht="16" x14ac:dyDescent="0.2">
      <c r="A35" s="15"/>
      <c r="B35" s="15"/>
      <c r="C35" s="16"/>
    </row>
    <row r="36" spans="1:3" ht="16" x14ac:dyDescent="0.2">
      <c r="A36" s="27"/>
      <c r="B36" s="27"/>
      <c r="C36" s="16"/>
    </row>
    <row r="37" spans="1:3" ht="16" x14ac:dyDescent="0.2">
      <c r="A37" s="15"/>
      <c r="B37" s="15"/>
      <c r="C37" s="16"/>
    </row>
    <row r="38" spans="1:3" ht="16" x14ac:dyDescent="0.2">
      <c r="A38" s="15"/>
      <c r="B38" s="15"/>
      <c r="C38" s="16"/>
    </row>
    <row r="39" spans="1:3" ht="16" x14ac:dyDescent="0.2">
      <c r="A39" s="15"/>
      <c r="B39" s="15"/>
      <c r="C39" s="16"/>
    </row>
    <row r="40" spans="1:3" ht="16" x14ac:dyDescent="0.2">
      <c r="A40" s="15"/>
      <c r="B40" s="15"/>
      <c r="C40" s="16"/>
    </row>
  </sheetData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AG29"/>
  <sheetViews>
    <sheetView topLeftCell="S1" workbookViewId="0">
      <selection activeCell="S21" sqref="S21:AG21"/>
    </sheetView>
  </sheetViews>
  <sheetFormatPr baseColWidth="10" defaultRowHeight="15" x14ac:dyDescent="0.2"/>
  <cols>
    <col min="2" max="2" width="29" customWidth="1"/>
  </cols>
  <sheetData>
    <row r="1" spans="1:33" ht="16" x14ac:dyDescent="0.2">
      <c r="A1" s="3" t="s">
        <v>15</v>
      </c>
      <c r="B1" s="24" t="s">
        <v>681</v>
      </c>
      <c r="C1" s="3">
        <v>1979</v>
      </c>
      <c r="D1" s="3">
        <v>1982</v>
      </c>
      <c r="E1" s="3">
        <v>1986</v>
      </c>
      <c r="F1" s="3">
        <v>1989</v>
      </c>
      <c r="G1" s="3">
        <v>1993</v>
      </c>
      <c r="H1" s="3">
        <v>1996</v>
      </c>
      <c r="I1" s="3">
        <v>2000</v>
      </c>
      <c r="J1" s="3">
        <v>2004</v>
      </c>
      <c r="K1" s="3">
        <v>2008</v>
      </c>
      <c r="L1" s="3">
        <v>2011</v>
      </c>
      <c r="M1" s="3">
        <v>2015</v>
      </c>
      <c r="N1" s="3">
        <v>2016</v>
      </c>
      <c r="O1" s="3" t="s">
        <v>1409</v>
      </c>
      <c r="P1" s="3" t="s">
        <v>1410</v>
      </c>
      <c r="Q1" s="3">
        <v>2023</v>
      </c>
      <c r="S1" s="3">
        <v>1979</v>
      </c>
      <c r="T1" s="3">
        <v>1982</v>
      </c>
      <c r="U1" s="3">
        <v>1986</v>
      </c>
      <c r="V1" s="3">
        <v>1989</v>
      </c>
      <c r="W1" s="3">
        <v>1993</v>
      </c>
      <c r="X1" s="3">
        <v>1996</v>
      </c>
      <c r="Y1" s="3">
        <v>2000</v>
      </c>
      <c r="Z1" s="3">
        <v>2004</v>
      </c>
      <c r="AA1" s="3">
        <v>2008</v>
      </c>
      <c r="AB1" s="3">
        <v>2011</v>
      </c>
      <c r="AC1" s="3">
        <v>2015</v>
      </c>
      <c r="AD1" s="3">
        <v>2016</v>
      </c>
      <c r="AE1" s="3" t="s">
        <v>1409</v>
      </c>
      <c r="AF1" s="3" t="s">
        <v>1410</v>
      </c>
      <c r="AG1" s="3">
        <v>2023</v>
      </c>
    </row>
    <row r="2" spans="1:33" ht="16" x14ac:dyDescent="0.2">
      <c r="A2" s="29" t="s">
        <v>9</v>
      </c>
      <c r="B2" s="16" t="s">
        <v>775</v>
      </c>
      <c r="C2" s="1">
        <v>30.5</v>
      </c>
      <c r="D2" s="1">
        <v>48.3</v>
      </c>
      <c r="E2" s="1">
        <v>44.5</v>
      </c>
      <c r="F2" s="1">
        <v>39.9</v>
      </c>
      <c r="G2" s="1">
        <v>39.1</v>
      </c>
      <c r="H2" s="1">
        <v>37.6</v>
      </c>
      <c r="I2" s="1">
        <v>34.700000000000003</v>
      </c>
      <c r="J2" s="1">
        <v>43.3</v>
      </c>
      <c r="K2" s="1">
        <v>44.3</v>
      </c>
      <c r="L2" s="1">
        <v>29.1</v>
      </c>
      <c r="M2" s="2">
        <v>22</v>
      </c>
      <c r="N2" s="2">
        <v>22.6</v>
      </c>
      <c r="O2" s="1">
        <v>28.7</v>
      </c>
      <c r="P2" s="1">
        <v>28</v>
      </c>
      <c r="Q2" s="1">
        <v>31.7</v>
      </c>
      <c r="S2" s="1">
        <v>30.5</v>
      </c>
      <c r="T2" s="1">
        <f>(D2*0.15)+D2</f>
        <v>55.544999999999995</v>
      </c>
      <c r="U2" s="1">
        <f>(E2*0.35)+E2</f>
        <v>60.075000000000003</v>
      </c>
      <c r="V2" s="1">
        <f>(F2*0.5)+F2</f>
        <v>59.849999999999994</v>
      </c>
      <c r="W2" s="1">
        <f>(G2*0.7)+G2</f>
        <v>66.47</v>
      </c>
      <c r="X2" s="1">
        <f>(H2*0.85)+H2</f>
        <v>69.56</v>
      </c>
      <c r="Y2" s="1">
        <f>(I2*1.05)+I2</f>
        <v>71.135000000000005</v>
      </c>
      <c r="Z2" s="1">
        <f>(J2*1.25)+J2</f>
        <v>97.424999999999997</v>
      </c>
      <c r="AA2" s="1">
        <f>(K2*1.45)+K2</f>
        <v>108.535</v>
      </c>
      <c r="AB2" s="1">
        <f>(L2*1.6)+L2</f>
        <v>75.66</v>
      </c>
      <c r="AC2" s="1">
        <f>(M2*1.8)+M2</f>
        <v>61.6</v>
      </c>
      <c r="AD2" s="1">
        <f>(N2*1.85)+N2</f>
        <v>64.41</v>
      </c>
      <c r="AE2" s="1">
        <f>(O2*2)+O2</f>
        <v>86.1</v>
      </c>
      <c r="AF2" s="1">
        <f>(P2*2)+P2</f>
        <v>84</v>
      </c>
      <c r="AG2" s="1">
        <f>(Q2*2.2)+Q2</f>
        <v>101.44000000000001</v>
      </c>
    </row>
    <row r="3" spans="1:33" ht="16" x14ac:dyDescent="0.2">
      <c r="A3" s="29" t="s">
        <v>8</v>
      </c>
      <c r="B3" s="16" t="s">
        <v>776</v>
      </c>
      <c r="C3" s="1">
        <v>6.2</v>
      </c>
      <c r="D3" s="1">
        <v>26.5</v>
      </c>
      <c r="E3" s="1">
        <v>26.2</v>
      </c>
      <c r="F3" s="1">
        <v>26</v>
      </c>
      <c r="G3" s="1">
        <v>35</v>
      </c>
      <c r="H3" s="1">
        <v>38.799999999999997</v>
      </c>
      <c r="I3" s="1">
        <v>45.2</v>
      </c>
      <c r="J3" s="1">
        <v>38.299999999999997</v>
      </c>
      <c r="K3" s="1">
        <v>40.4</v>
      </c>
      <c r="L3" s="1">
        <v>45.2</v>
      </c>
      <c r="M3" s="2">
        <v>28.7</v>
      </c>
      <c r="N3" s="2">
        <v>33.1</v>
      </c>
      <c r="O3" s="1">
        <v>16.7</v>
      </c>
      <c r="P3" s="1">
        <v>20.8</v>
      </c>
      <c r="Q3" s="1">
        <v>33.1</v>
      </c>
      <c r="S3" s="1">
        <v>6.2</v>
      </c>
      <c r="T3" s="1">
        <f t="shared" ref="T3:T6" si="0">(D3*0.15)+D3</f>
        <v>30.475000000000001</v>
      </c>
      <c r="U3" s="1">
        <f t="shared" ref="U3:U5" si="1">(E3*0.35)+E3</f>
        <v>35.369999999999997</v>
      </c>
      <c r="V3" s="1">
        <f t="shared" ref="V3:V5" si="2">(F3*0.5)+F3</f>
        <v>39</v>
      </c>
      <c r="W3" s="1">
        <f t="shared" ref="W3:W5" si="3">(G3*0.7)+G3</f>
        <v>59.5</v>
      </c>
      <c r="X3" s="1">
        <f t="shared" ref="X3:X5" si="4">(H3*0.85)+H3</f>
        <v>71.78</v>
      </c>
      <c r="Y3" s="1">
        <f t="shared" ref="Y3:Y5" si="5">(I3*1.05)+I3</f>
        <v>92.660000000000011</v>
      </c>
      <c r="Z3" s="1">
        <f t="shared" ref="Z3:Z4" si="6">(J3*1.25)+J3</f>
        <v>86.174999999999997</v>
      </c>
      <c r="AA3" s="1">
        <f t="shared" ref="AA3:AA5" si="7">(K3*1.45)+K3</f>
        <v>98.97999999999999</v>
      </c>
      <c r="AB3" s="1">
        <f t="shared" ref="AB3:AB5" si="8">(L3*1.6)+L3</f>
        <v>117.52000000000001</v>
      </c>
      <c r="AC3" s="1">
        <f t="shared" ref="AC3:AC4" si="9">(M3*1.8)+M3</f>
        <v>80.36</v>
      </c>
      <c r="AD3" s="1">
        <f>(N3*1.85)+N3</f>
        <v>94.335000000000008</v>
      </c>
      <c r="AE3" s="1">
        <f>(O3*2)+O3</f>
        <v>50.099999999999994</v>
      </c>
      <c r="AF3" s="1">
        <f>(P3*2)+P3</f>
        <v>62.400000000000006</v>
      </c>
      <c r="AG3" s="1">
        <f t="shared" ref="AG3:AG8" si="10">(Q3*2.2)+Q3</f>
        <v>105.92000000000002</v>
      </c>
    </row>
    <row r="4" spans="1:33" ht="16" x14ac:dyDescent="0.2">
      <c r="A4" s="29" t="s">
        <v>12</v>
      </c>
      <c r="B4" s="1" t="s">
        <v>777</v>
      </c>
      <c r="C4" s="1">
        <v>10.8</v>
      </c>
      <c r="D4" s="1">
        <v>4</v>
      </c>
      <c r="E4" s="1">
        <v>4.5</v>
      </c>
      <c r="F4" s="1">
        <v>9.1</v>
      </c>
      <c r="G4" s="1">
        <v>9.3000000000000007</v>
      </c>
      <c r="H4" s="1">
        <v>10.5</v>
      </c>
      <c r="I4" s="1">
        <v>6</v>
      </c>
      <c r="J4" s="1">
        <v>3.2</v>
      </c>
      <c r="K4" s="1">
        <v>3.8</v>
      </c>
      <c r="L4" s="1">
        <v>7</v>
      </c>
      <c r="M4" s="2">
        <v>3.7</v>
      </c>
      <c r="N4" s="2"/>
      <c r="O4" s="2"/>
      <c r="P4" s="2"/>
      <c r="Q4" s="42">
        <v>12.3</v>
      </c>
      <c r="S4" s="1">
        <v>10.8</v>
      </c>
      <c r="T4" s="1">
        <f t="shared" si="0"/>
        <v>4.5999999999999996</v>
      </c>
      <c r="U4" s="1">
        <f t="shared" si="1"/>
        <v>6.0750000000000002</v>
      </c>
      <c r="V4" s="1">
        <f t="shared" si="2"/>
        <v>13.649999999999999</v>
      </c>
      <c r="W4" s="1">
        <f t="shared" si="3"/>
        <v>15.81</v>
      </c>
      <c r="X4" s="1">
        <f t="shared" si="4"/>
        <v>19.424999999999997</v>
      </c>
      <c r="Y4" s="1">
        <f t="shared" si="5"/>
        <v>12.3</v>
      </c>
      <c r="Z4" s="1">
        <f t="shared" si="6"/>
        <v>7.2</v>
      </c>
      <c r="AA4" s="1">
        <f t="shared" si="7"/>
        <v>9.3099999999999987</v>
      </c>
      <c r="AB4" s="1">
        <f t="shared" si="8"/>
        <v>18.200000000000003</v>
      </c>
      <c r="AC4" s="1">
        <f t="shared" si="9"/>
        <v>10.36</v>
      </c>
      <c r="AD4" s="1"/>
      <c r="AG4" s="1">
        <f t="shared" si="10"/>
        <v>39.36</v>
      </c>
    </row>
    <row r="5" spans="1:33" ht="16" x14ac:dyDescent="0.2">
      <c r="A5" s="29" t="s">
        <v>0</v>
      </c>
      <c r="B5" s="16" t="s">
        <v>778</v>
      </c>
      <c r="C5" s="1">
        <v>2.7</v>
      </c>
      <c r="D5" s="1">
        <v>3.7</v>
      </c>
      <c r="E5" s="1">
        <v>4.7</v>
      </c>
      <c r="F5" s="1">
        <v>5</v>
      </c>
      <c r="G5" s="1">
        <v>5</v>
      </c>
      <c r="H5" s="1">
        <v>4.5999999999999996</v>
      </c>
      <c r="I5" s="1">
        <v>4.3</v>
      </c>
      <c r="J5" s="1">
        <v>3.3</v>
      </c>
      <c r="K5" s="1">
        <v>3.1</v>
      </c>
      <c r="L5" s="1">
        <v>4.2</v>
      </c>
      <c r="M5" s="2"/>
      <c r="N5" s="2"/>
      <c r="O5" s="2"/>
      <c r="P5" s="2"/>
      <c r="Q5" s="2"/>
      <c r="S5" s="1">
        <v>2.7</v>
      </c>
      <c r="T5" s="1">
        <f t="shared" si="0"/>
        <v>4.2549999999999999</v>
      </c>
      <c r="U5" s="1">
        <f t="shared" si="1"/>
        <v>6.3450000000000006</v>
      </c>
      <c r="V5" s="1">
        <f t="shared" si="2"/>
        <v>7.5</v>
      </c>
      <c r="W5" s="1">
        <f t="shared" si="3"/>
        <v>8.5</v>
      </c>
      <c r="X5" s="1">
        <f t="shared" si="4"/>
        <v>8.51</v>
      </c>
      <c r="Y5" s="1">
        <f t="shared" si="5"/>
        <v>8.8149999999999995</v>
      </c>
      <c r="Z5" s="1">
        <f>(J5*1.25)+J5</f>
        <v>7.4249999999999998</v>
      </c>
      <c r="AA5" s="1">
        <f t="shared" si="7"/>
        <v>7.5950000000000006</v>
      </c>
      <c r="AB5" s="1">
        <f t="shared" si="8"/>
        <v>10.920000000000002</v>
      </c>
      <c r="AC5" s="1"/>
      <c r="AD5" s="1"/>
      <c r="AG5" s="1"/>
    </row>
    <row r="6" spans="1:33" ht="16" x14ac:dyDescent="0.2">
      <c r="A6" s="29" t="s">
        <v>2</v>
      </c>
      <c r="B6" s="1" t="s">
        <v>779</v>
      </c>
      <c r="C6" s="1">
        <v>35.1</v>
      </c>
      <c r="D6" s="1">
        <v>6.5</v>
      </c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S6" s="1">
        <v>35.1</v>
      </c>
      <c r="T6" s="1">
        <f t="shared" si="0"/>
        <v>7.4749999999999996</v>
      </c>
      <c r="U6" s="1"/>
      <c r="V6" s="1"/>
      <c r="W6" s="1"/>
      <c r="X6" s="1"/>
      <c r="Y6" s="1"/>
      <c r="Z6" s="1"/>
      <c r="AA6" s="1"/>
      <c r="AB6" s="1"/>
      <c r="AC6" s="1"/>
      <c r="AD6" s="1"/>
      <c r="AG6" s="1"/>
    </row>
    <row r="7" spans="1:33" ht="16" x14ac:dyDescent="0.2">
      <c r="A7" s="29" t="s">
        <v>7</v>
      </c>
      <c r="B7" s="16" t="s">
        <v>780</v>
      </c>
      <c r="C7" s="1"/>
      <c r="D7" s="1"/>
      <c r="E7" s="1"/>
      <c r="F7" s="1"/>
      <c r="G7" s="1"/>
      <c r="H7" s="1"/>
      <c r="I7" s="1"/>
      <c r="J7" s="1"/>
      <c r="K7" s="1">
        <v>1.2</v>
      </c>
      <c r="L7" s="1">
        <v>4.8</v>
      </c>
      <c r="M7" s="2">
        <v>0.6</v>
      </c>
      <c r="N7" s="2">
        <v>0.2</v>
      </c>
      <c r="O7" s="2"/>
      <c r="P7" s="2"/>
      <c r="Q7" s="2"/>
      <c r="S7" s="1"/>
      <c r="T7" s="1"/>
      <c r="U7" s="1"/>
      <c r="V7" s="1"/>
      <c r="W7" s="1"/>
      <c r="X7" s="1"/>
      <c r="Y7" s="1"/>
      <c r="Z7" s="1"/>
      <c r="AA7" s="1">
        <v>1.2</v>
      </c>
      <c r="AB7" s="1">
        <f>(L7*0.15)+L7</f>
        <v>5.52</v>
      </c>
      <c r="AC7" s="1">
        <f>(M7*0.35)+M7</f>
        <v>0.80999999999999994</v>
      </c>
      <c r="AD7" s="1">
        <f>(N7*0.4)+N7</f>
        <v>0.28000000000000003</v>
      </c>
      <c r="AG7" s="1"/>
    </row>
    <row r="8" spans="1:33" ht="16" x14ac:dyDescent="0.2">
      <c r="A8" s="29" t="s">
        <v>1</v>
      </c>
      <c r="B8" s="16" t="s">
        <v>1412</v>
      </c>
      <c r="C8" s="1">
        <v>0.7</v>
      </c>
      <c r="D8" s="1">
        <v>0.7</v>
      </c>
      <c r="E8" s="1">
        <v>0.4</v>
      </c>
      <c r="F8" s="1">
        <v>0.4</v>
      </c>
      <c r="G8" s="1">
        <v>0.8</v>
      </c>
      <c r="H8" s="1">
        <v>0.7</v>
      </c>
      <c r="I8" s="1">
        <v>0.8</v>
      </c>
      <c r="J8" s="1">
        <v>2.5</v>
      </c>
      <c r="K8" s="1">
        <v>1.2</v>
      </c>
      <c r="L8" s="1">
        <v>1.1000000000000001</v>
      </c>
      <c r="M8" s="1">
        <v>2.4</v>
      </c>
      <c r="N8" s="1">
        <v>2.6</v>
      </c>
      <c r="O8" s="1">
        <v>3.9</v>
      </c>
      <c r="P8" s="1">
        <v>3.6</v>
      </c>
      <c r="Q8" s="1">
        <v>1.9</v>
      </c>
      <c r="S8" s="3">
        <v>0.7</v>
      </c>
      <c r="T8" s="1">
        <f>(D8*0.15)+D8</f>
        <v>0.80499999999999994</v>
      </c>
      <c r="U8" s="1">
        <f>(E8*0.35)+E8</f>
        <v>0.54</v>
      </c>
      <c r="V8" s="1">
        <f>(F8*0.5)+F8</f>
        <v>0.60000000000000009</v>
      </c>
      <c r="W8" s="1">
        <f>(G8*0.7)+G8</f>
        <v>1.3599999999999999</v>
      </c>
      <c r="X8" s="1">
        <f>(H8*0.85)+H8</f>
        <v>1.2949999999999999</v>
      </c>
      <c r="Y8" s="1">
        <f>(I8*1.05)+I8</f>
        <v>1.6400000000000001</v>
      </c>
      <c r="Z8" s="1">
        <f>(J8*1.25)+J8</f>
        <v>5.625</v>
      </c>
      <c r="AA8" s="1">
        <f>(K8*1.45)+K8</f>
        <v>2.94</v>
      </c>
      <c r="AB8" s="1">
        <f>(L8*1.6)+L8</f>
        <v>2.8600000000000003</v>
      </c>
      <c r="AC8" s="1">
        <f>(M8*1.8)+M8</f>
        <v>6.7200000000000006</v>
      </c>
      <c r="AD8" s="1">
        <f>(N8*1.85)+N8</f>
        <v>7.41</v>
      </c>
      <c r="AE8" s="1">
        <f>(O8*2)+O8</f>
        <v>11.7</v>
      </c>
      <c r="AF8" s="1">
        <f>(P8*2)+P8</f>
        <v>10.8</v>
      </c>
      <c r="AG8" s="1">
        <f t="shared" si="10"/>
        <v>6.08</v>
      </c>
    </row>
    <row r="9" spans="1:33" ht="16" x14ac:dyDescent="0.2">
      <c r="A9" s="29" t="s">
        <v>600</v>
      </c>
      <c r="B9" s="16" t="s">
        <v>781</v>
      </c>
      <c r="C9" s="1"/>
      <c r="D9" s="1"/>
      <c r="E9" s="1"/>
      <c r="F9" s="1"/>
      <c r="G9" s="1"/>
      <c r="H9" s="1"/>
      <c r="I9" s="1"/>
      <c r="J9" s="1"/>
      <c r="K9" s="1"/>
      <c r="L9" s="1"/>
      <c r="M9" s="2">
        <v>20.7</v>
      </c>
      <c r="N9" s="2">
        <v>21.2</v>
      </c>
      <c r="O9" s="2">
        <v>14.3</v>
      </c>
      <c r="P9" s="2">
        <v>12.9</v>
      </c>
      <c r="Q9" s="2"/>
      <c r="S9" s="1"/>
      <c r="T9" s="1"/>
      <c r="U9" s="1"/>
      <c r="V9" s="1"/>
      <c r="W9" s="1"/>
      <c r="X9" s="1"/>
      <c r="Y9" s="1"/>
      <c r="Z9" s="1"/>
      <c r="AA9" s="1"/>
      <c r="AB9" s="1"/>
      <c r="AC9" s="2">
        <v>20.7</v>
      </c>
      <c r="AD9" s="1">
        <f>(N9*0.05)+N9</f>
        <v>22.259999999999998</v>
      </c>
      <c r="AE9" s="1">
        <f t="shared" ref="AE9" si="11">(O9*0.2)+O9</f>
        <v>17.16</v>
      </c>
      <c r="AF9" s="1">
        <f t="shared" ref="AF9" si="12">(P9*0.2)+P9</f>
        <v>15.48</v>
      </c>
    </row>
    <row r="10" spans="1:33" ht="16" x14ac:dyDescent="0.2">
      <c r="A10" s="29" t="s">
        <v>601</v>
      </c>
      <c r="B10" s="16" t="s">
        <v>782</v>
      </c>
      <c r="C10" s="1"/>
      <c r="D10" s="1"/>
      <c r="E10" s="1"/>
      <c r="F10" s="1"/>
      <c r="G10" s="1"/>
      <c r="H10" s="1"/>
      <c r="I10" s="1"/>
      <c r="J10" s="1"/>
      <c r="K10" s="1">
        <v>0.2</v>
      </c>
      <c r="L10" s="1"/>
      <c r="M10" s="2">
        <v>13.9</v>
      </c>
      <c r="N10" s="2">
        <v>13.1</v>
      </c>
      <c r="O10" s="2">
        <v>15.9</v>
      </c>
      <c r="P10" s="2">
        <v>6.8</v>
      </c>
      <c r="Q10" s="2"/>
      <c r="S10" s="1"/>
      <c r="T10" s="1"/>
      <c r="U10" s="1"/>
      <c r="V10" s="1"/>
      <c r="W10" s="1"/>
      <c r="X10" s="1"/>
      <c r="Y10" s="1"/>
      <c r="Z10" s="1"/>
      <c r="AA10" s="1">
        <v>0.2</v>
      </c>
      <c r="AB10" s="1"/>
      <c r="AC10" s="1">
        <f>(M10*0.35)+M10</f>
        <v>18.765000000000001</v>
      </c>
      <c r="AD10" s="1">
        <f>(N10*0.4)+N10</f>
        <v>18.34</v>
      </c>
      <c r="AE10" s="1">
        <f>(O10*0.55)+O10</f>
        <v>24.645000000000003</v>
      </c>
      <c r="AF10" s="1">
        <f>(P10*0.55)+P10</f>
        <v>10.54</v>
      </c>
    </row>
    <row r="11" spans="1:33" ht="16" x14ac:dyDescent="0.2">
      <c r="A11" s="29" t="s">
        <v>1411</v>
      </c>
      <c r="B11" s="16" t="s">
        <v>1411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v>0.2</v>
      </c>
      <c r="N11" s="1">
        <v>0.2</v>
      </c>
      <c r="O11" s="1">
        <v>10.3</v>
      </c>
      <c r="P11" s="1">
        <v>15.1</v>
      </c>
      <c r="Q11" s="1">
        <v>12.4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>
        <v>0.2</v>
      </c>
      <c r="AD11" s="1">
        <f>(N11*0.05)+N11</f>
        <v>0.21000000000000002</v>
      </c>
      <c r="AE11" s="1">
        <f>(O11*0.2)+O11</f>
        <v>12.360000000000001</v>
      </c>
      <c r="AF11" s="1">
        <f>(P11*0.2)+P11</f>
        <v>18.12</v>
      </c>
      <c r="AG11" s="1">
        <f>(Q11*0.4)+Q11</f>
        <v>17.36</v>
      </c>
    </row>
    <row r="12" spans="1:33" ht="16" x14ac:dyDescent="0.2">
      <c r="A12" s="29" t="s">
        <v>4</v>
      </c>
      <c r="B12" s="16" t="s">
        <v>783</v>
      </c>
      <c r="C12" s="1"/>
      <c r="D12" s="1">
        <v>2.9</v>
      </c>
      <c r="E12" s="1">
        <v>9.3000000000000007</v>
      </c>
      <c r="F12" s="1">
        <v>7.9</v>
      </c>
      <c r="G12" s="1">
        <v>1.8</v>
      </c>
      <c r="H12" s="1">
        <v>0.2</v>
      </c>
      <c r="I12" s="1">
        <v>0.1</v>
      </c>
      <c r="J12" s="1">
        <v>0.1</v>
      </c>
      <c r="K12" s="1"/>
      <c r="L12" s="1"/>
      <c r="M12" s="2"/>
      <c r="N12" s="2"/>
      <c r="O12" s="2"/>
      <c r="P12" s="2"/>
      <c r="Q12" s="2"/>
      <c r="S12" s="1"/>
      <c r="T12" s="1">
        <v>2.9</v>
      </c>
      <c r="U12" s="1">
        <f>(E12*0.2)+E12</f>
        <v>11.16</v>
      </c>
      <c r="V12" s="1">
        <f>(F12*0.35)+F12</f>
        <v>10.665000000000001</v>
      </c>
      <c r="W12" s="1">
        <f>(G12*0.55)+G12</f>
        <v>2.79</v>
      </c>
      <c r="X12" s="1">
        <f>(H12*0.7)+H12</f>
        <v>0.33999999999999997</v>
      </c>
      <c r="Y12" s="1">
        <f>(I12*1)+I12</f>
        <v>0.2</v>
      </c>
      <c r="Z12" s="1">
        <f>(J12*1.2)+J12</f>
        <v>0.22</v>
      </c>
      <c r="AA12" s="1"/>
      <c r="AB12" s="1"/>
      <c r="AC12" s="1"/>
    </row>
    <row r="13" spans="1:33" x14ac:dyDescent="0.2">
      <c r="R13" s="3" t="s">
        <v>14</v>
      </c>
      <c r="S13" s="1">
        <f t="shared" ref="S13:AG13" si="13">SUM(S2:S12)</f>
        <v>86.000000000000014</v>
      </c>
      <c r="T13" s="1">
        <f t="shared" si="13"/>
        <v>106.05499999999999</v>
      </c>
      <c r="U13" s="1">
        <f t="shared" si="13"/>
        <v>119.565</v>
      </c>
      <c r="V13" s="1">
        <f t="shared" si="13"/>
        <v>131.26499999999999</v>
      </c>
      <c r="W13" s="1">
        <f t="shared" si="13"/>
        <v>154.43</v>
      </c>
      <c r="X13" s="1">
        <f t="shared" si="13"/>
        <v>170.90999999999997</v>
      </c>
      <c r="Y13" s="1">
        <f t="shared" si="13"/>
        <v>186.75</v>
      </c>
      <c r="Z13" s="1">
        <f t="shared" si="13"/>
        <v>204.07</v>
      </c>
      <c r="AA13" s="1">
        <f t="shared" si="13"/>
        <v>228.75999999999996</v>
      </c>
      <c r="AB13" s="1">
        <f t="shared" si="13"/>
        <v>230.68000000000004</v>
      </c>
      <c r="AC13" s="1">
        <f t="shared" si="13"/>
        <v>199.51499999999999</v>
      </c>
      <c r="AD13" s="1">
        <f t="shared" si="13"/>
        <v>207.245</v>
      </c>
      <c r="AE13" s="1">
        <f t="shared" si="13"/>
        <v>202.065</v>
      </c>
      <c r="AF13" s="1">
        <f t="shared" si="13"/>
        <v>201.34</v>
      </c>
      <c r="AG13" s="1">
        <f t="shared" si="13"/>
        <v>270.16000000000003</v>
      </c>
    </row>
    <row r="14" spans="1:33" x14ac:dyDescent="0.2">
      <c r="A14" t="s">
        <v>10</v>
      </c>
    </row>
    <row r="15" spans="1:33" x14ac:dyDescent="0.2">
      <c r="A15" t="s">
        <v>11</v>
      </c>
      <c r="S15" s="1">
        <v>100</v>
      </c>
      <c r="T15" s="1">
        <v>115</v>
      </c>
      <c r="U15" s="1">
        <v>135</v>
      </c>
      <c r="V15" s="1">
        <v>150</v>
      </c>
      <c r="W15" s="1">
        <v>170</v>
      </c>
      <c r="X15" s="1">
        <v>185</v>
      </c>
      <c r="Y15" s="1">
        <v>205</v>
      </c>
      <c r="Z15" s="1">
        <v>225</v>
      </c>
      <c r="AA15" s="1">
        <v>245</v>
      </c>
      <c r="AB15" s="1">
        <v>260</v>
      </c>
      <c r="AC15" s="1">
        <v>280</v>
      </c>
      <c r="AD15" s="1">
        <v>285</v>
      </c>
      <c r="AE15" s="1">
        <v>300</v>
      </c>
      <c r="AF15" s="1">
        <v>300</v>
      </c>
      <c r="AG15" s="1">
        <v>320</v>
      </c>
    </row>
    <row r="16" spans="1:33" x14ac:dyDescent="0.2">
      <c r="A16" t="s">
        <v>13</v>
      </c>
    </row>
    <row r="17" spans="1:33" x14ac:dyDescent="0.2">
      <c r="S17" s="1">
        <f>S13</f>
        <v>86.000000000000014</v>
      </c>
      <c r="T17" s="1">
        <f>SUM(S17+T13)</f>
        <v>192.05500000000001</v>
      </c>
      <c r="U17" s="1">
        <f>SUM(T17+U13)</f>
        <v>311.62</v>
      </c>
      <c r="V17" s="1">
        <f t="shared" ref="V17:AD17" si="14">SUM(U17+V13)</f>
        <v>442.88499999999999</v>
      </c>
      <c r="W17" s="1">
        <f t="shared" si="14"/>
        <v>597.31500000000005</v>
      </c>
      <c r="X17" s="1">
        <f t="shared" si="14"/>
        <v>768.22500000000002</v>
      </c>
      <c r="Y17" s="1">
        <f t="shared" si="14"/>
        <v>954.97500000000002</v>
      </c>
      <c r="Z17" s="1">
        <f t="shared" si="14"/>
        <v>1159.0450000000001</v>
      </c>
      <c r="AA17" s="1">
        <f t="shared" si="14"/>
        <v>1387.8050000000001</v>
      </c>
      <c r="AB17" s="1">
        <f t="shared" si="14"/>
        <v>1618.4850000000001</v>
      </c>
      <c r="AC17" s="1">
        <f t="shared" si="14"/>
        <v>1818</v>
      </c>
      <c r="AD17" s="1">
        <f t="shared" si="14"/>
        <v>2025.2449999999999</v>
      </c>
      <c r="AE17" s="1">
        <f t="shared" ref="AE17" si="15">SUM(AD17+AE13)</f>
        <v>2227.31</v>
      </c>
      <c r="AF17" s="1">
        <f t="shared" ref="AF17:AG17" si="16">SUM(AE17+AF13)</f>
        <v>2428.65</v>
      </c>
      <c r="AG17" s="1">
        <f t="shared" si="16"/>
        <v>2698.81</v>
      </c>
    </row>
    <row r="18" spans="1:33" x14ac:dyDescent="0.2">
      <c r="S18" s="3"/>
      <c r="T18" s="3"/>
      <c r="U18" s="3"/>
      <c r="V18" s="1"/>
      <c r="W18" s="1"/>
      <c r="X18" s="1"/>
      <c r="Y18" s="6"/>
      <c r="Z18" s="6"/>
      <c r="AA18" s="6"/>
      <c r="AB18" s="1"/>
    </row>
    <row r="19" spans="1:33" x14ac:dyDescent="0.2">
      <c r="S19" s="1">
        <v>100</v>
      </c>
      <c r="T19" s="1">
        <f>SUM(S19+T15)</f>
        <v>215</v>
      </c>
      <c r="U19" s="1">
        <f>SUM(T19+U15)</f>
        <v>350</v>
      </c>
      <c r="V19" s="1">
        <f t="shared" ref="V19:AD19" si="17">SUM(U19+V15)</f>
        <v>500</v>
      </c>
      <c r="W19" s="1">
        <f t="shared" si="17"/>
        <v>670</v>
      </c>
      <c r="X19" s="1">
        <f t="shared" si="17"/>
        <v>855</v>
      </c>
      <c r="Y19" s="1">
        <f t="shared" si="17"/>
        <v>1060</v>
      </c>
      <c r="Z19" s="1">
        <f t="shared" si="17"/>
        <v>1285</v>
      </c>
      <c r="AA19" s="1">
        <f t="shared" si="17"/>
        <v>1530</v>
      </c>
      <c r="AB19" s="1">
        <f t="shared" si="17"/>
        <v>1790</v>
      </c>
      <c r="AC19" s="1">
        <f t="shared" si="17"/>
        <v>2070</v>
      </c>
      <c r="AD19" s="1">
        <f t="shared" si="17"/>
        <v>2355</v>
      </c>
      <c r="AE19" s="1">
        <f t="shared" ref="AE19" si="18">SUM(AD19+AE15)</f>
        <v>2655</v>
      </c>
      <c r="AF19" s="1">
        <f t="shared" ref="AF19:AG19" si="19">SUM(AE19+AF15)</f>
        <v>2955</v>
      </c>
      <c r="AG19" s="1">
        <f t="shared" si="19"/>
        <v>3275</v>
      </c>
    </row>
    <row r="21" spans="1:33" ht="16" x14ac:dyDescent="0.2">
      <c r="A21" s="1"/>
      <c r="B21" s="1"/>
      <c r="C21" s="16"/>
      <c r="S21" s="4" t="s">
        <v>1563</v>
      </c>
      <c r="T21" s="4" t="s">
        <v>1563</v>
      </c>
      <c r="U21" s="4" t="s">
        <v>1563</v>
      </c>
      <c r="V21" s="4" t="s">
        <v>1563</v>
      </c>
      <c r="W21" s="4" t="s">
        <v>1563</v>
      </c>
      <c r="X21" s="4" t="s">
        <v>1563</v>
      </c>
      <c r="Y21" s="4" t="s">
        <v>1563</v>
      </c>
      <c r="Z21" s="4" t="s">
        <v>1563</v>
      </c>
      <c r="AA21" s="4" t="s">
        <v>1563</v>
      </c>
      <c r="AB21" s="4" t="s">
        <v>1563</v>
      </c>
      <c r="AC21" s="4" t="s">
        <v>1563</v>
      </c>
      <c r="AD21" s="4" t="s">
        <v>1563</v>
      </c>
      <c r="AE21" s="4" t="s">
        <v>1563</v>
      </c>
      <c r="AF21" s="4" t="s">
        <v>1563</v>
      </c>
      <c r="AG21" s="4" t="s">
        <v>1563</v>
      </c>
    </row>
    <row r="22" spans="1:33" ht="16" x14ac:dyDescent="0.2">
      <c r="A22" s="1"/>
      <c r="B22" s="1"/>
      <c r="C22" s="16"/>
      <c r="S22" s="6">
        <f>(S17/S19)*100</f>
        <v>86.000000000000014</v>
      </c>
      <c r="T22" s="6">
        <f>(T17/T19)*100</f>
        <v>89.327906976744188</v>
      </c>
      <c r="U22" s="6">
        <f>(U17/U19)*100</f>
        <v>89.034285714285716</v>
      </c>
      <c r="V22" s="6">
        <f t="shared" ref="V22:AG22" si="20">(V17/V19)*100</f>
        <v>88.576999999999998</v>
      </c>
      <c r="W22" s="6">
        <f t="shared" si="20"/>
        <v>89.15149253731343</v>
      </c>
      <c r="X22" s="6">
        <f t="shared" si="20"/>
        <v>89.850877192982466</v>
      </c>
      <c r="Y22" s="6">
        <f t="shared" si="20"/>
        <v>90.091981132075475</v>
      </c>
      <c r="Z22" s="6">
        <f t="shared" si="20"/>
        <v>90.198054474708172</v>
      </c>
      <c r="AA22" s="6">
        <f t="shared" si="20"/>
        <v>90.706209150326799</v>
      </c>
      <c r="AB22" s="6">
        <f t="shared" si="20"/>
        <v>90.418156424581014</v>
      </c>
      <c r="AC22" s="6">
        <f t="shared" si="20"/>
        <v>87.826086956521749</v>
      </c>
      <c r="AD22" s="6">
        <f t="shared" si="20"/>
        <v>85.997664543524408</v>
      </c>
      <c r="AE22" s="6">
        <f t="shared" si="20"/>
        <v>83.891148775894536</v>
      </c>
      <c r="AF22" s="6">
        <f t="shared" si="20"/>
        <v>82.187817258883257</v>
      </c>
      <c r="AG22" s="6">
        <f t="shared" si="20"/>
        <v>82.406412213740452</v>
      </c>
    </row>
    <row r="23" spans="1:33" ht="16" x14ac:dyDescent="0.2">
      <c r="A23" s="1"/>
      <c r="B23" s="1"/>
      <c r="C23" s="16"/>
    </row>
    <row r="24" spans="1:33" ht="16" x14ac:dyDescent="0.2">
      <c r="A24" s="1"/>
      <c r="B24" s="1"/>
      <c r="C24" s="16"/>
    </row>
    <row r="25" spans="1:33" ht="16" x14ac:dyDescent="0.2">
      <c r="A25" s="1"/>
      <c r="B25" s="1"/>
      <c r="C25" s="16"/>
    </row>
    <row r="26" spans="1:33" ht="16" x14ac:dyDescent="0.2">
      <c r="A26" s="1"/>
      <c r="B26" s="1"/>
      <c r="C26" s="16"/>
    </row>
    <row r="27" spans="1:33" ht="16" x14ac:dyDescent="0.2">
      <c r="A27" s="1"/>
      <c r="B27" s="1"/>
      <c r="C27" s="16"/>
    </row>
    <row r="28" spans="1:33" x14ac:dyDescent="0.2">
      <c r="A28" s="1"/>
      <c r="B28" s="1"/>
      <c r="C28" s="1"/>
    </row>
    <row r="29" spans="1:33" x14ac:dyDescent="0.2">
      <c r="A29" s="1"/>
      <c r="B29" s="1"/>
      <c r="C29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BO36"/>
  <sheetViews>
    <sheetView topLeftCell="Z1" workbookViewId="0">
      <selection activeCell="AJ25" sqref="AJ25:BO25"/>
    </sheetView>
  </sheetViews>
  <sheetFormatPr baseColWidth="10" defaultRowHeight="15" x14ac:dyDescent="0.2"/>
  <cols>
    <col min="2" max="2" width="33.33203125" customWidth="1"/>
  </cols>
  <sheetData>
    <row r="1" spans="1:67" ht="16" x14ac:dyDescent="0.2">
      <c r="A1" s="3" t="s">
        <v>15</v>
      </c>
      <c r="B1" s="24" t="s">
        <v>681</v>
      </c>
      <c r="C1" s="3">
        <v>1917</v>
      </c>
      <c r="D1" s="3">
        <v>1920</v>
      </c>
      <c r="E1" s="3">
        <v>1921</v>
      </c>
      <c r="F1" s="3">
        <v>1924</v>
      </c>
      <c r="G1" s="3">
        <v>1928</v>
      </c>
      <c r="H1" s="3">
        <v>1932</v>
      </c>
      <c r="I1" s="3">
        <v>1936</v>
      </c>
      <c r="J1" s="3">
        <v>1940</v>
      </c>
      <c r="K1" s="3">
        <v>1944</v>
      </c>
      <c r="L1" s="3">
        <v>1948</v>
      </c>
      <c r="M1" s="3">
        <v>1952</v>
      </c>
      <c r="N1" s="3">
        <v>1956</v>
      </c>
      <c r="O1" s="3">
        <v>1958</v>
      </c>
      <c r="P1" s="3">
        <v>1960</v>
      </c>
      <c r="Q1" s="3">
        <v>1964</v>
      </c>
      <c r="R1" s="3">
        <v>1968</v>
      </c>
      <c r="S1" s="3">
        <v>1970</v>
      </c>
      <c r="T1" s="3">
        <v>1973</v>
      </c>
      <c r="U1" s="3">
        <v>1976</v>
      </c>
      <c r="V1" s="3">
        <v>1979</v>
      </c>
      <c r="W1" s="3">
        <v>1982</v>
      </c>
      <c r="X1" s="3">
        <v>1985</v>
      </c>
      <c r="Y1" s="3">
        <v>1988</v>
      </c>
      <c r="Z1" s="3">
        <v>1991</v>
      </c>
      <c r="AA1" s="3">
        <v>1994</v>
      </c>
      <c r="AB1" s="3">
        <v>1998</v>
      </c>
      <c r="AC1" s="3">
        <v>2002</v>
      </c>
      <c r="AD1" s="3">
        <v>2006</v>
      </c>
      <c r="AE1" s="3">
        <v>2010</v>
      </c>
      <c r="AF1" s="3">
        <v>2014</v>
      </c>
      <c r="AG1" s="3">
        <v>2018</v>
      </c>
      <c r="AH1" s="3">
        <v>2022</v>
      </c>
      <c r="AJ1" s="3">
        <v>1917</v>
      </c>
      <c r="AK1" s="3">
        <v>1920</v>
      </c>
      <c r="AL1" s="3">
        <v>1921</v>
      </c>
      <c r="AM1" s="3">
        <v>1924</v>
      </c>
      <c r="AN1" s="3">
        <v>1928</v>
      </c>
      <c r="AO1" s="3">
        <v>1932</v>
      </c>
      <c r="AP1" s="3">
        <v>1936</v>
      </c>
      <c r="AQ1" s="3">
        <v>1940</v>
      </c>
      <c r="AR1" s="3">
        <v>1944</v>
      </c>
      <c r="AS1" s="3">
        <v>1948</v>
      </c>
      <c r="AT1" s="3">
        <v>1952</v>
      </c>
      <c r="AU1" s="3">
        <v>1956</v>
      </c>
      <c r="AV1" s="3">
        <v>1958</v>
      </c>
      <c r="AW1" s="3">
        <v>1960</v>
      </c>
      <c r="AX1" s="3">
        <v>1964</v>
      </c>
      <c r="AY1" s="3">
        <v>1968</v>
      </c>
      <c r="AZ1" s="3">
        <v>1970</v>
      </c>
      <c r="BA1" s="3">
        <v>1973</v>
      </c>
      <c r="BB1" s="3">
        <v>1976</v>
      </c>
      <c r="BC1" s="3">
        <v>1979</v>
      </c>
      <c r="BD1" s="3">
        <v>1982</v>
      </c>
      <c r="BE1" s="3">
        <v>1985</v>
      </c>
      <c r="BF1" s="3">
        <v>1988</v>
      </c>
      <c r="BG1" s="3">
        <v>1991</v>
      </c>
      <c r="BH1" s="3">
        <v>1994</v>
      </c>
      <c r="BI1" s="3">
        <v>1998</v>
      </c>
      <c r="BJ1" s="3">
        <v>2002</v>
      </c>
      <c r="BK1" s="3">
        <v>2006</v>
      </c>
      <c r="BL1" s="3">
        <v>2010</v>
      </c>
      <c r="BM1" s="3">
        <v>2014</v>
      </c>
      <c r="BN1" s="3">
        <v>2018</v>
      </c>
      <c r="BO1" s="3">
        <v>2022</v>
      </c>
    </row>
    <row r="2" spans="1:67" ht="16" x14ac:dyDescent="0.2">
      <c r="A2" s="12" t="s">
        <v>295</v>
      </c>
      <c r="B2" s="16" t="s">
        <v>761</v>
      </c>
      <c r="C2" s="1">
        <v>31.1</v>
      </c>
      <c r="D2" s="1">
        <v>29.6</v>
      </c>
      <c r="E2" s="1">
        <v>36.200000000000003</v>
      </c>
      <c r="F2" s="1">
        <v>41.1</v>
      </c>
      <c r="G2" s="1">
        <v>37</v>
      </c>
      <c r="H2" s="1">
        <v>41.7</v>
      </c>
      <c r="I2" s="1">
        <v>45.9</v>
      </c>
      <c r="J2" s="1">
        <v>53.8</v>
      </c>
      <c r="K2" s="1">
        <v>46.6</v>
      </c>
      <c r="L2" s="1">
        <v>46.1</v>
      </c>
      <c r="M2" s="1">
        <v>46</v>
      </c>
      <c r="N2" s="1">
        <v>44.6</v>
      </c>
      <c r="O2" s="1">
        <v>46.2</v>
      </c>
      <c r="P2" s="1">
        <v>47.8</v>
      </c>
      <c r="Q2" s="1">
        <v>47.3</v>
      </c>
      <c r="R2" s="1">
        <v>50.1</v>
      </c>
      <c r="S2" s="1">
        <v>45.3</v>
      </c>
      <c r="T2" s="1">
        <v>43.6</v>
      </c>
      <c r="U2" s="1">
        <v>42.7</v>
      </c>
      <c r="V2" s="1">
        <v>43.2</v>
      </c>
      <c r="W2" s="1">
        <v>45.6</v>
      </c>
      <c r="X2" s="1">
        <v>44.7</v>
      </c>
      <c r="Y2" s="1">
        <v>43.2</v>
      </c>
      <c r="Z2" s="1">
        <v>37.700000000000003</v>
      </c>
      <c r="AA2" s="1">
        <v>45.3</v>
      </c>
      <c r="AB2" s="1">
        <v>36.4</v>
      </c>
      <c r="AC2" s="1">
        <v>39.9</v>
      </c>
      <c r="AD2" s="1">
        <v>35</v>
      </c>
      <c r="AE2" s="1">
        <v>30.7</v>
      </c>
      <c r="AF2" s="1">
        <v>31</v>
      </c>
      <c r="AG2" s="1">
        <v>28.3</v>
      </c>
      <c r="AH2" s="1">
        <v>30.3</v>
      </c>
      <c r="AJ2" s="1">
        <v>31.1</v>
      </c>
      <c r="AK2" s="1">
        <f>(D2*0.15)+D2</f>
        <v>34.04</v>
      </c>
      <c r="AL2" s="1">
        <f>(E2*0.2)+E2</f>
        <v>43.440000000000005</v>
      </c>
      <c r="AM2" s="1">
        <f>(F2*0.35)+F2</f>
        <v>55.484999999999999</v>
      </c>
      <c r="AN2" s="1">
        <f>(G2*0.55)+G2</f>
        <v>57.35</v>
      </c>
      <c r="AO2" s="1">
        <f>(H2*0.75)+H2</f>
        <v>72.975000000000009</v>
      </c>
      <c r="AP2" s="1">
        <f>(I2*0.95)+I2</f>
        <v>89.504999999999995</v>
      </c>
      <c r="AQ2" s="1">
        <f>(J2*1.15)+J2</f>
        <v>115.66999999999999</v>
      </c>
      <c r="AR2" s="1">
        <f>(K2*1.35)+K2</f>
        <v>109.51</v>
      </c>
      <c r="AS2" s="1">
        <f>(L2*1.55)+L2</f>
        <v>117.55500000000001</v>
      </c>
      <c r="AT2" s="1">
        <f>(M2*1.75)+M2</f>
        <v>126.5</v>
      </c>
      <c r="AU2" s="1">
        <f>(N2*1.95)+N2</f>
        <v>131.57</v>
      </c>
      <c r="AV2" s="1">
        <f>(O2*2.05)+O2</f>
        <v>140.91</v>
      </c>
      <c r="AW2" s="1">
        <f>(P2*2.15)+P2</f>
        <v>150.57</v>
      </c>
      <c r="AX2" s="1">
        <f>(Q2*2.35)+Q2</f>
        <v>158.45499999999998</v>
      </c>
      <c r="AY2" s="1">
        <f>(R2*2.55)+R2</f>
        <v>177.85499999999999</v>
      </c>
      <c r="AZ2" s="1">
        <f>(S2*2.65)+S2</f>
        <v>165.34499999999997</v>
      </c>
      <c r="BA2" s="1">
        <f>(T2*2.8)+T2</f>
        <v>165.68</v>
      </c>
      <c r="BB2" s="1">
        <f>(U2*2.95)+U2</f>
        <v>168.66500000000002</v>
      </c>
      <c r="BC2" s="1">
        <f>(V2*3.1)+V2</f>
        <v>177.12</v>
      </c>
      <c r="BD2" s="1">
        <f>(W2*3.25)+W2</f>
        <v>193.8</v>
      </c>
      <c r="BE2" s="1">
        <f>(X2*3.4)+X2</f>
        <v>196.68</v>
      </c>
      <c r="BF2" s="1">
        <f>(Y2*3.55)+Y2</f>
        <v>196.56</v>
      </c>
      <c r="BG2" s="1">
        <f>(Z2*3.7)+Z2</f>
        <v>177.19</v>
      </c>
      <c r="BH2" s="1">
        <f>(AA2*3.85)+AA2</f>
        <v>219.70499999999998</v>
      </c>
      <c r="BI2" s="1">
        <f>(AB2*4.05)+AB2</f>
        <v>183.82</v>
      </c>
      <c r="BJ2" s="1">
        <f>(AC2*4.25)+AC2</f>
        <v>209.47499999999999</v>
      </c>
      <c r="BK2" s="1">
        <f>(AD2*4.45)+AD2</f>
        <v>190.75</v>
      </c>
      <c r="BL2" s="1">
        <f>(AE2*4.65)+AE2</f>
        <v>173.45499999999998</v>
      </c>
      <c r="BM2" s="1">
        <f>(AF2*4.85)+AF2</f>
        <v>181.35</v>
      </c>
      <c r="BN2" s="1">
        <f>(AG2*5.05)+AG2</f>
        <v>171.215</v>
      </c>
      <c r="BO2" s="1">
        <f>(AH2*5.25)+AH2</f>
        <v>189.37500000000003</v>
      </c>
    </row>
    <row r="3" spans="1:67" ht="16" x14ac:dyDescent="0.2">
      <c r="A3" s="12" t="s">
        <v>88</v>
      </c>
      <c r="B3" s="16" t="s">
        <v>762</v>
      </c>
      <c r="C3" s="1">
        <v>27.6</v>
      </c>
      <c r="D3" s="1">
        <v>21.8</v>
      </c>
      <c r="E3" s="1">
        <v>18.7</v>
      </c>
      <c r="F3" s="1">
        <v>13</v>
      </c>
      <c r="G3" s="1">
        <v>12.9</v>
      </c>
      <c r="H3" s="1">
        <v>9.8000000000000007</v>
      </c>
      <c r="I3" s="1"/>
      <c r="J3" s="1"/>
      <c r="K3" s="1"/>
      <c r="L3" s="1"/>
      <c r="M3" s="1"/>
      <c r="N3" s="1"/>
      <c r="O3" s="1"/>
      <c r="P3" s="1"/>
      <c r="Q3" s="1"/>
      <c r="AJ3" s="1">
        <v>27.6</v>
      </c>
      <c r="AK3" s="1">
        <f t="shared" ref="AK3:AK7" si="0">(D3*0.15)+D3</f>
        <v>25.07</v>
      </c>
      <c r="AL3" s="1">
        <f t="shared" ref="AL3:AL6" si="1">(E3*0.2)+E3</f>
        <v>22.439999999999998</v>
      </c>
      <c r="AM3" s="1">
        <f t="shared" ref="AM3:AM6" si="2">(F3*0.35)+F3</f>
        <v>17.55</v>
      </c>
      <c r="AN3" s="1">
        <f t="shared" ref="AN3:AN6" si="3">(G3*0.55)+G3</f>
        <v>19.995000000000001</v>
      </c>
      <c r="AO3" s="1">
        <f t="shared" ref="AO3:AO6" si="4">(H3*0.75)+H3</f>
        <v>17.150000000000002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</row>
    <row r="4" spans="1:67" ht="16" x14ac:dyDescent="0.2">
      <c r="A4" s="12" t="s">
        <v>617</v>
      </c>
      <c r="B4" s="16" t="s">
        <v>763</v>
      </c>
      <c r="C4" s="1">
        <v>24.7</v>
      </c>
      <c r="D4" s="1">
        <v>27.8</v>
      </c>
      <c r="E4" s="1">
        <v>25.8</v>
      </c>
      <c r="F4" s="1">
        <v>26.1</v>
      </c>
      <c r="G4" s="1">
        <v>29.4</v>
      </c>
      <c r="H4" s="1">
        <v>23.5</v>
      </c>
      <c r="I4" s="1">
        <v>17.600000000000001</v>
      </c>
      <c r="J4" s="1">
        <v>18</v>
      </c>
      <c r="K4" s="1">
        <v>15.8</v>
      </c>
      <c r="L4" s="1">
        <v>12.3</v>
      </c>
      <c r="M4" s="1">
        <v>14.4</v>
      </c>
      <c r="N4" s="1">
        <v>17.100000000000001</v>
      </c>
      <c r="O4" s="1">
        <v>19.5</v>
      </c>
      <c r="P4" s="1">
        <v>16.600000000000001</v>
      </c>
      <c r="Q4" s="1">
        <v>13.7</v>
      </c>
      <c r="R4" s="1">
        <v>12.9</v>
      </c>
      <c r="S4" s="1">
        <v>11.5</v>
      </c>
      <c r="T4" s="1">
        <v>14.3</v>
      </c>
      <c r="U4" s="1">
        <v>15.6</v>
      </c>
      <c r="V4" s="1">
        <v>20.3</v>
      </c>
      <c r="W4" s="1">
        <v>23.6</v>
      </c>
      <c r="X4" s="1">
        <v>21.3</v>
      </c>
      <c r="Y4" s="1">
        <v>18.3</v>
      </c>
      <c r="Z4" s="1">
        <v>21.9</v>
      </c>
      <c r="AA4" s="1">
        <v>22.4</v>
      </c>
      <c r="AB4" s="1">
        <v>22.9</v>
      </c>
      <c r="AC4" s="1">
        <v>15.3</v>
      </c>
      <c r="AD4" s="1">
        <v>26.2</v>
      </c>
      <c r="AE4" s="1">
        <v>30.1</v>
      </c>
      <c r="AF4" s="1">
        <v>23.3</v>
      </c>
      <c r="AG4" s="1">
        <v>19.8</v>
      </c>
      <c r="AH4" s="1">
        <v>19.100000000000001</v>
      </c>
      <c r="AJ4" s="1">
        <v>24.7</v>
      </c>
      <c r="AK4" s="1">
        <f t="shared" si="0"/>
        <v>31.97</v>
      </c>
      <c r="AL4" s="1">
        <f t="shared" si="1"/>
        <v>30.96</v>
      </c>
      <c r="AM4" s="1">
        <f t="shared" si="2"/>
        <v>35.234999999999999</v>
      </c>
      <c r="AN4" s="1">
        <f t="shared" si="3"/>
        <v>45.57</v>
      </c>
      <c r="AO4" s="1">
        <f t="shared" si="4"/>
        <v>41.125</v>
      </c>
      <c r="AP4" s="1">
        <f t="shared" ref="AP4:AP6" si="5">(I4*0.95)+I4</f>
        <v>34.32</v>
      </c>
      <c r="AQ4" s="1">
        <f t="shared" ref="AQ4:AQ6" si="6">(J4*1.15)+J4</f>
        <v>38.700000000000003</v>
      </c>
      <c r="AR4" s="1">
        <f t="shared" ref="AR4:AR6" si="7">(K4*1.35)+K4</f>
        <v>37.130000000000003</v>
      </c>
      <c r="AS4" s="1">
        <f t="shared" ref="AS4:AS6" si="8">(L4*1.55)+L4</f>
        <v>31.365000000000002</v>
      </c>
      <c r="AT4" s="1">
        <f t="shared" ref="AT4:AT6" si="9">(M4*1.75)+M4</f>
        <v>39.6</v>
      </c>
      <c r="AU4" s="1">
        <f t="shared" ref="AU4:AU6" si="10">(N4*1.95)+N4</f>
        <v>50.445</v>
      </c>
      <c r="AV4" s="1">
        <f t="shared" ref="AV4:AV6" si="11">(O4*2.05)+O4</f>
        <v>59.474999999999994</v>
      </c>
      <c r="AW4" s="1">
        <f t="shared" ref="AW4:AW6" si="12">(P4*2.15)+P4</f>
        <v>52.290000000000006</v>
      </c>
      <c r="AX4" s="1">
        <f t="shared" ref="AX4:AX6" si="13">(Q4*2.35)+Q4</f>
        <v>45.894999999999996</v>
      </c>
      <c r="AY4" s="1">
        <f t="shared" ref="AY4:AY6" si="14">(R4*2.55)+R4</f>
        <v>45.794999999999995</v>
      </c>
      <c r="AZ4" s="1">
        <f t="shared" ref="AZ4:AZ6" si="15">(S4*2.65)+S4</f>
        <v>41.974999999999994</v>
      </c>
      <c r="BA4" s="1">
        <f t="shared" ref="BA4:BA6" si="16">(T4*2.8)+T4</f>
        <v>54.34</v>
      </c>
      <c r="BB4" s="1">
        <f t="shared" ref="BB4:BB6" si="17">(U4*2.95)+U4</f>
        <v>61.620000000000005</v>
      </c>
      <c r="BC4" s="1">
        <f t="shared" ref="BC4:BC6" si="18">(V4*3.1)+V4</f>
        <v>83.23</v>
      </c>
      <c r="BD4" s="1">
        <f t="shared" ref="BD4:BD6" si="19">(W4*3.25)+W4</f>
        <v>100.30000000000001</v>
      </c>
      <c r="BE4" s="1">
        <f t="shared" ref="BE4:BE6" si="20">(X4*3.4)+X4</f>
        <v>93.72</v>
      </c>
      <c r="BF4" s="1">
        <f t="shared" ref="BF4:BF6" si="21">(Y4*3.55)+Y4</f>
        <v>83.265000000000001</v>
      </c>
      <c r="BG4" s="1">
        <f t="shared" ref="BG4:BG6" si="22">(Z4*3.7)+Z4</f>
        <v>102.93</v>
      </c>
      <c r="BH4" s="1">
        <f t="shared" ref="BH4:BH6" si="23">(AA4*3.85)+AA4</f>
        <v>108.63999999999999</v>
      </c>
      <c r="BI4" s="1">
        <f t="shared" ref="BI4:BI6" si="24">(AB4*4.05)+AB4</f>
        <v>115.64499999999998</v>
      </c>
      <c r="BJ4" s="1">
        <f t="shared" ref="BJ4:BJ6" si="25">(AC4*4.25)+AC4</f>
        <v>80.325000000000003</v>
      </c>
      <c r="BK4" s="1">
        <f t="shared" ref="BK4:BK6" si="26">(AD4*4.45)+AD4</f>
        <v>142.79</v>
      </c>
      <c r="BL4" s="1">
        <f t="shared" ref="BL4:BL6" si="27">(AE4*4.65)+AE4</f>
        <v>170.065</v>
      </c>
      <c r="BM4" s="1">
        <f t="shared" ref="BM4:BM6" si="28">(AF4*4.85)+AF4</f>
        <v>136.30500000000001</v>
      </c>
      <c r="BN4" s="1">
        <f t="shared" ref="BN4:BN6" si="29">(AG4*5.05)+AG4</f>
        <v>119.78999999999999</v>
      </c>
      <c r="BO4" s="1">
        <f t="shared" ref="BO4:BO6" si="30">(AH4*5.25)+AH4</f>
        <v>119.375</v>
      </c>
    </row>
    <row r="5" spans="1:67" ht="16" x14ac:dyDescent="0.2">
      <c r="A5" s="12" t="s">
        <v>142</v>
      </c>
      <c r="B5" s="16" t="s">
        <v>764</v>
      </c>
      <c r="C5" s="1">
        <v>8</v>
      </c>
      <c r="D5" s="1">
        <v>6.4</v>
      </c>
      <c r="E5" s="1">
        <v>4.5999999999999996</v>
      </c>
      <c r="F5" s="1">
        <v>3.6</v>
      </c>
      <c r="G5" s="1">
        <v>6.4</v>
      </c>
      <c r="H5" s="1">
        <v>3</v>
      </c>
      <c r="I5" s="1">
        <v>3.3</v>
      </c>
      <c r="J5" s="1">
        <v>3.5</v>
      </c>
      <c r="K5" s="1">
        <v>10.3</v>
      </c>
      <c r="L5" s="1">
        <v>6.3</v>
      </c>
      <c r="M5" s="1">
        <v>4.3</v>
      </c>
      <c r="N5" s="1">
        <v>5</v>
      </c>
      <c r="O5" s="1">
        <v>3.4</v>
      </c>
      <c r="P5" s="1">
        <v>4.5</v>
      </c>
      <c r="Q5" s="1">
        <v>5.2</v>
      </c>
      <c r="R5" s="1">
        <v>3</v>
      </c>
      <c r="S5" s="1">
        <v>4.8</v>
      </c>
      <c r="T5" s="1">
        <v>5.3</v>
      </c>
      <c r="U5" s="1">
        <v>4.8</v>
      </c>
      <c r="V5" s="1">
        <v>5.6</v>
      </c>
      <c r="W5" s="1">
        <v>5.6</v>
      </c>
      <c r="X5" s="1">
        <v>5.4</v>
      </c>
      <c r="Y5" s="1">
        <v>5.8</v>
      </c>
      <c r="Z5" s="1">
        <v>4.5</v>
      </c>
      <c r="AA5" s="1">
        <v>6.2</v>
      </c>
      <c r="AB5" s="1">
        <v>12</v>
      </c>
      <c r="AC5" s="1">
        <v>8.4</v>
      </c>
      <c r="AD5" s="1">
        <v>5.9</v>
      </c>
      <c r="AE5" s="1">
        <v>5.6</v>
      </c>
      <c r="AF5" s="1">
        <v>5.7</v>
      </c>
      <c r="AG5" s="1">
        <v>8</v>
      </c>
      <c r="AH5" s="1">
        <v>6.8</v>
      </c>
      <c r="AJ5" s="1">
        <v>8</v>
      </c>
      <c r="AK5" s="1">
        <f t="shared" si="0"/>
        <v>7.36</v>
      </c>
      <c r="AL5" s="1">
        <f t="shared" si="1"/>
        <v>5.52</v>
      </c>
      <c r="AM5" s="1">
        <f t="shared" si="2"/>
        <v>4.8600000000000003</v>
      </c>
      <c r="AN5" s="1">
        <f t="shared" si="3"/>
        <v>9.9200000000000017</v>
      </c>
      <c r="AO5" s="1">
        <f t="shared" si="4"/>
        <v>5.25</v>
      </c>
      <c r="AP5" s="1">
        <f t="shared" si="5"/>
        <v>6.4349999999999996</v>
      </c>
      <c r="AQ5" s="1">
        <f t="shared" si="6"/>
        <v>7.5249999999999995</v>
      </c>
      <c r="AR5" s="1">
        <f t="shared" si="7"/>
        <v>24.205000000000002</v>
      </c>
      <c r="AS5" s="1">
        <f t="shared" si="8"/>
        <v>16.065000000000001</v>
      </c>
      <c r="AT5" s="1">
        <f t="shared" si="9"/>
        <v>11.824999999999999</v>
      </c>
      <c r="AU5" s="1">
        <f t="shared" si="10"/>
        <v>14.75</v>
      </c>
      <c r="AV5" s="1">
        <f t="shared" si="11"/>
        <v>10.37</v>
      </c>
      <c r="AW5" s="1">
        <f t="shared" si="12"/>
        <v>14.174999999999999</v>
      </c>
      <c r="AX5" s="1">
        <f t="shared" si="13"/>
        <v>17.420000000000002</v>
      </c>
      <c r="AY5" s="1">
        <f t="shared" si="14"/>
        <v>10.649999999999999</v>
      </c>
      <c r="AZ5" s="1">
        <f t="shared" si="15"/>
        <v>17.52</v>
      </c>
      <c r="BA5" s="1">
        <f t="shared" si="16"/>
        <v>20.139999999999997</v>
      </c>
      <c r="BB5" s="1">
        <f t="shared" si="17"/>
        <v>18.96</v>
      </c>
      <c r="BC5" s="1">
        <f t="shared" si="18"/>
        <v>22.96</v>
      </c>
      <c r="BD5" s="1">
        <f t="shared" si="19"/>
        <v>23.799999999999997</v>
      </c>
      <c r="BE5" s="1">
        <f t="shared" si="20"/>
        <v>23.759999999999998</v>
      </c>
      <c r="BF5" s="1">
        <f t="shared" si="21"/>
        <v>26.39</v>
      </c>
      <c r="BG5" s="1">
        <f t="shared" si="22"/>
        <v>21.150000000000002</v>
      </c>
      <c r="BH5" s="1">
        <f t="shared" si="23"/>
        <v>30.07</v>
      </c>
      <c r="BI5" s="1">
        <f t="shared" si="24"/>
        <v>60.599999999999994</v>
      </c>
      <c r="BJ5" s="1">
        <f t="shared" si="25"/>
        <v>44.1</v>
      </c>
      <c r="BK5" s="1">
        <f t="shared" si="26"/>
        <v>32.155000000000001</v>
      </c>
      <c r="BL5" s="1">
        <f t="shared" si="27"/>
        <v>31.64</v>
      </c>
      <c r="BM5" s="1">
        <f t="shared" si="28"/>
        <v>33.344999999999999</v>
      </c>
      <c r="BN5" s="1">
        <f t="shared" si="29"/>
        <v>48.4</v>
      </c>
      <c r="BO5" s="1">
        <f t="shared" si="30"/>
        <v>42.499999999999993</v>
      </c>
    </row>
    <row r="6" spans="1:67" ht="16" x14ac:dyDescent="0.2">
      <c r="A6" s="12" t="s">
        <v>260</v>
      </c>
      <c r="B6" s="16" t="s">
        <v>765</v>
      </c>
      <c r="C6" s="1">
        <v>5.3</v>
      </c>
      <c r="D6" s="1">
        <v>7.9</v>
      </c>
      <c r="E6" s="1">
        <v>11</v>
      </c>
      <c r="F6" s="1">
        <v>10.8</v>
      </c>
      <c r="G6" s="1">
        <v>11.2</v>
      </c>
      <c r="H6" s="1">
        <v>14.1</v>
      </c>
      <c r="I6" s="1">
        <v>14.4</v>
      </c>
      <c r="J6" s="1">
        <v>12</v>
      </c>
      <c r="K6" s="1">
        <v>13.6</v>
      </c>
      <c r="L6" s="1">
        <v>12.4</v>
      </c>
      <c r="M6" s="1">
        <v>10.7</v>
      </c>
      <c r="N6" s="1">
        <v>9.5</v>
      </c>
      <c r="O6" s="1">
        <v>12.7</v>
      </c>
      <c r="P6" s="1">
        <v>13.6</v>
      </c>
      <c r="Q6" s="1">
        <v>13.2</v>
      </c>
      <c r="R6" s="1">
        <v>15.7</v>
      </c>
      <c r="S6" s="1">
        <v>19.899999999999999</v>
      </c>
      <c r="T6" s="1">
        <v>25.1</v>
      </c>
      <c r="U6" s="1">
        <v>24.1</v>
      </c>
      <c r="V6" s="1">
        <v>18.100000000000001</v>
      </c>
      <c r="W6" s="1">
        <v>15.5</v>
      </c>
      <c r="X6" s="1">
        <v>8.8000000000000007</v>
      </c>
      <c r="Y6" s="1">
        <v>11.3</v>
      </c>
      <c r="Z6" s="1">
        <v>8.5</v>
      </c>
      <c r="AA6" s="1">
        <v>7.7</v>
      </c>
      <c r="AB6" s="1">
        <v>5.0999999999999996</v>
      </c>
      <c r="AC6" s="1">
        <v>6.2</v>
      </c>
      <c r="AD6" s="1">
        <v>7.9</v>
      </c>
      <c r="AE6" s="1">
        <v>6.6</v>
      </c>
      <c r="AF6" s="1">
        <v>6.1</v>
      </c>
      <c r="AG6" s="1">
        <v>8.6</v>
      </c>
      <c r="AH6" s="1">
        <v>6.7</v>
      </c>
      <c r="AJ6" s="1">
        <v>5.3</v>
      </c>
      <c r="AK6" s="1">
        <f t="shared" si="0"/>
        <v>9.0850000000000009</v>
      </c>
      <c r="AL6" s="1">
        <f t="shared" si="1"/>
        <v>13.2</v>
      </c>
      <c r="AM6" s="1">
        <f t="shared" si="2"/>
        <v>14.58</v>
      </c>
      <c r="AN6" s="1">
        <f t="shared" si="3"/>
        <v>17.36</v>
      </c>
      <c r="AO6" s="1">
        <f t="shared" si="4"/>
        <v>24.674999999999997</v>
      </c>
      <c r="AP6" s="1">
        <f t="shared" si="5"/>
        <v>28.08</v>
      </c>
      <c r="AQ6" s="1">
        <f t="shared" si="6"/>
        <v>25.799999999999997</v>
      </c>
      <c r="AR6" s="1">
        <f t="shared" si="7"/>
        <v>31.96</v>
      </c>
      <c r="AS6" s="1">
        <f t="shared" si="8"/>
        <v>31.620000000000005</v>
      </c>
      <c r="AT6" s="1">
        <f t="shared" si="9"/>
        <v>29.424999999999997</v>
      </c>
      <c r="AU6" s="1">
        <f t="shared" si="10"/>
        <v>28.024999999999999</v>
      </c>
      <c r="AV6" s="1">
        <f t="shared" si="11"/>
        <v>38.734999999999999</v>
      </c>
      <c r="AW6" s="1">
        <f t="shared" si="12"/>
        <v>42.839999999999996</v>
      </c>
      <c r="AX6" s="1">
        <f t="shared" si="13"/>
        <v>44.22</v>
      </c>
      <c r="AY6" s="1">
        <f t="shared" si="14"/>
        <v>55.734999999999999</v>
      </c>
      <c r="AZ6" s="1">
        <f t="shared" si="15"/>
        <v>72.634999999999991</v>
      </c>
      <c r="BA6" s="1">
        <f t="shared" si="16"/>
        <v>95.38</v>
      </c>
      <c r="BB6" s="1">
        <f t="shared" si="17"/>
        <v>95.195000000000022</v>
      </c>
      <c r="BC6" s="1">
        <f t="shared" si="18"/>
        <v>74.210000000000008</v>
      </c>
      <c r="BD6" s="1">
        <f t="shared" si="19"/>
        <v>65.875</v>
      </c>
      <c r="BE6" s="1">
        <f t="shared" si="20"/>
        <v>38.72</v>
      </c>
      <c r="BF6" s="1">
        <f t="shared" si="21"/>
        <v>51.415000000000006</v>
      </c>
      <c r="BG6" s="1">
        <f t="shared" si="22"/>
        <v>39.950000000000003</v>
      </c>
      <c r="BH6" s="1">
        <f t="shared" si="23"/>
        <v>37.345000000000006</v>
      </c>
      <c r="BI6" s="1">
        <f t="shared" si="24"/>
        <v>25.754999999999995</v>
      </c>
      <c r="BJ6" s="1">
        <f t="shared" si="25"/>
        <v>32.550000000000004</v>
      </c>
      <c r="BK6" s="1">
        <f t="shared" si="26"/>
        <v>43.055</v>
      </c>
      <c r="BL6" s="1">
        <f t="shared" si="27"/>
        <v>37.29</v>
      </c>
      <c r="BM6" s="1">
        <f t="shared" si="28"/>
        <v>35.684999999999995</v>
      </c>
      <c r="BN6" s="1">
        <f t="shared" si="29"/>
        <v>52.03</v>
      </c>
      <c r="BO6" s="1">
        <f t="shared" si="30"/>
        <v>41.875000000000007</v>
      </c>
    </row>
    <row r="7" spans="1:67" ht="16" x14ac:dyDescent="0.2">
      <c r="A7" s="12" t="s">
        <v>296</v>
      </c>
      <c r="B7" s="16" t="s">
        <v>766</v>
      </c>
      <c r="C7" s="1">
        <v>3.1</v>
      </c>
      <c r="D7" s="1">
        <v>6.2</v>
      </c>
      <c r="K7" s="1"/>
      <c r="AJ7" s="1">
        <v>3.1</v>
      </c>
      <c r="AK7" s="1">
        <f t="shared" si="0"/>
        <v>7.13</v>
      </c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7" ht="16" x14ac:dyDescent="0.2">
      <c r="A8" s="12" t="s">
        <v>297</v>
      </c>
      <c r="B8" s="16" t="s">
        <v>767</v>
      </c>
      <c r="F8" s="1">
        <v>3.9</v>
      </c>
      <c r="G8" s="1">
        <v>3</v>
      </c>
      <c r="H8" s="1">
        <v>2</v>
      </c>
      <c r="K8" s="1"/>
      <c r="AJ8" s="1"/>
      <c r="AK8" s="1"/>
      <c r="AL8" s="1"/>
      <c r="AM8" s="1">
        <v>3.9</v>
      </c>
      <c r="AN8" s="1">
        <f>(G8*0.2)+G8</f>
        <v>3.6</v>
      </c>
      <c r="AO8" s="1">
        <f>(H8*0.4)+H8</f>
        <v>2.8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</row>
    <row r="9" spans="1:67" ht="16" x14ac:dyDescent="0.2">
      <c r="A9" s="12" t="s">
        <v>158</v>
      </c>
      <c r="B9" s="16" t="s">
        <v>448</v>
      </c>
      <c r="H9" s="1">
        <v>5.3</v>
      </c>
      <c r="I9" s="1">
        <v>4.4000000000000004</v>
      </c>
      <c r="J9" s="1">
        <v>0.6</v>
      </c>
      <c r="K9" s="1"/>
      <c r="AJ9" s="1"/>
      <c r="AK9" s="1"/>
      <c r="AL9" s="1"/>
      <c r="AM9" s="1"/>
      <c r="AN9" s="1"/>
      <c r="AO9" s="1">
        <v>5.3</v>
      </c>
      <c r="AP9" s="1">
        <f>(I9*0.2)+I9</f>
        <v>5.28</v>
      </c>
      <c r="AQ9" s="1">
        <f>(J9*0.4)+J9</f>
        <v>0.84</v>
      </c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 ht="16" x14ac:dyDescent="0.2">
      <c r="A10" s="12" t="s">
        <v>250</v>
      </c>
      <c r="B10" s="16" t="s">
        <v>768</v>
      </c>
      <c r="I10" s="1">
        <v>12.9</v>
      </c>
      <c r="J10" s="1">
        <v>12</v>
      </c>
      <c r="K10" s="1">
        <v>12.9</v>
      </c>
      <c r="L10" s="1">
        <v>22.7</v>
      </c>
      <c r="M10" s="1">
        <v>24.4</v>
      </c>
      <c r="N10" s="1">
        <v>23.8</v>
      </c>
      <c r="O10" s="1">
        <v>18.2</v>
      </c>
      <c r="P10" s="1">
        <v>17.5</v>
      </c>
      <c r="Q10" s="1">
        <v>17</v>
      </c>
      <c r="R10" s="1">
        <v>14.3</v>
      </c>
      <c r="S10" s="1">
        <v>16.2</v>
      </c>
      <c r="T10" s="1">
        <v>9.4</v>
      </c>
      <c r="U10" s="1">
        <v>11.1</v>
      </c>
      <c r="V10" s="1">
        <v>10.6</v>
      </c>
      <c r="W10" s="1">
        <v>5.9</v>
      </c>
      <c r="X10" s="1">
        <v>14.2</v>
      </c>
      <c r="Y10" s="1">
        <v>12.2</v>
      </c>
      <c r="Z10" s="1">
        <v>9.1</v>
      </c>
      <c r="AA10" s="1">
        <v>7.2</v>
      </c>
      <c r="AB10" s="1">
        <v>4.7</v>
      </c>
      <c r="AC10" s="1">
        <v>13.4</v>
      </c>
      <c r="AD10" s="1">
        <v>7.5</v>
      </c>
      <c r="AE10" s="1">
        <v>7.1</v>
      </c>
      <c r="AF10" s="1">
        <v>5.4</v>
      </c>
      <c r="AG10" s="1">
        <v>5.5</v>
      </c>
      <c r="AH10" s="1">
        <v>4.5999999999999996</v>
      </c>
      <c r="AJ10" s="1"/>
      <c r="AK10" s="1"/>
      <c r="AL10" s="1"/>
      <c r="AM10" s="1"/>
      <c r="AN10" s="1"/>
      <c r="AO10" s="1"/>
      <c r="AP10" s="1">
        <v>12.9</v>
      </c>
      <c r="AQ10" s="1">
        <f>(J10*0.2)+J10</f>
        <v>14.4</v>
      </c>
      <c r="AR10" s="1">
        <f>(K10*0.4)+K10</f>
        <v>18.060000000000002</v>
      </c>
      <c r="AS10" s="1">
        <f>(L10*0.6)+L10</f>
        <v>36.32</v>
      </c>
      <c r="AT10" s="1">
        <f>(M10*0.8)+M10</f>
        <v>43.92</v>
      </c>
      <c r="AU10" s="1">
        <f>(N10*1)+N10</f>
        <v>47.6</v>
      </c>
      <c r="AV10" s="1">
        <f>(O10*1.1)+O10</f>
        <v>38.22</v>
      </c>
      <c r="AW10" s="1">
        <f>(P10*1.2)+P10</f>
        <v>38.5</v>
      </c>
      <c r="AX10" s="1">
        <f>(Q10*1.4)+Q10</f>
        <v>40.799999999999997</v>
      </c>
      <c r="AY10" s="1">
        <f>(R10*1.6)+R10</f>
        <v>37.180000000000007</v>
      </c>
      <c r="AZ10" s="1">
        <f>(S10*1.7)+S10</f>
        <v>43.739999999999995</v>
      </c>
      <c r="BA10" s="1">
        <f>(T10*1.85)+T10</f>
        <v>26.79</v>
      </c>
      <c r="BB10" s="1">
        <f>(U10*2)+U10</f>
        <v>33.299999999999997</v>
      </c>
      <c r="BC10" s="1">
        <f>(V10*2.15)+V10</f>
        <v>33.39</v>
      </c>
      <c r="BD10" s="1">
        <f>(W10*2.3)+W10</f>
        <v>19.47</v>
      </c>
      <c r="BE10" s="1">
        <f>(X10*2.45)+X10</f>
        <v>48.989999999999995</v>
      </c>
      <c r="BF10" s="1">
        <f>(Y10*2.6)+Y10</f>
        <v>43.92</v>
      </c>
      <c r="BG10" s="1">
        <f>(Z10*2.75)+Z10</f>
        <v>34.125</v>
      </c>
      <c r="BH10" s="1">
        <f>(AA10*2.9)+AA10</f>
        <v>28.08</v>
      </c>
      <c r="BI10" s="1">
        <f>(AB10*3.1)+AB10</f>
        <v>19.27</v>
      </c>
      <c r="BJ10" s="1">
        <f>(AC10*3.3)+AC10</f>
        <v>57.62</v>
      </c>
      <c r="BK10" s="1">
        <f>(AD10*3.5)+AD10</f>
        <v>33.75</v>
      </c>
      <c r="BL10" s="1">
        <f>(AE10*3.7)+AE10</f>
        <v>33.369999999999997</v>
      </c>
      <c r="BM10" s="1">
        <f>(AF10*3.9)+AF10</f>
        <v>26.46</v>
      </c>
      <c r="BN10" s="1">
        <f>(AG10*4.1)+AG10</f>
        <v>28.049999999999997</v>
      </c>
      <c r="BO10" s="1">
        <f>(AH10*4.3)+AH10</f>
        <v>24.379999999999995</v>
      </c>
    </row>
    <row r="11" spans="1:67" ht="16" x14ac:dyDescent="0.2">
      <c r="A11" s="12" t="s">
        <v>251</v>
      </c>
      <c r="B11" s="16" t="s">
        <v>769</v>
      </c>
      <c r="I11" s="1"/>
      <c r="J11" s="1"/>
      <c r="K11" s="1"/>
      <c r="L11" s="1"/>
      <c r="M11" s="1"/>
      <c r="N11" s="1"/>
      <c r="O11" s="1"/>
      <c r="P11" s="1"/>
      <c r="Q11" s="1">
        <v>1.8</v>
      </c>
      <c r="R11" s="1">
        <v>1.5</v>
      </c>
      <c r="S11" s="1">
        <v>1.8</v>
      </c>
      <c r="T11" s="1">
        <v>1.8</v>
      </c>
      <c r="U11" s="1">
        <v>1.4</v>
      </c>
      <c r="V11" s="1">
        <v>1.4</v>
      </c>
      <c r="W11" s="1">
        <v>1.9</v>
      </c>
      <c r="X11" s="1">
        <v>2.4</v>
      </c>
      <c r="Y11" s="1">
        <v>2.9</v>
      </c>
      <c r="Z11" s="1">
        <v>7.1</v>
      </c>
      <c r="AA11" s="1">
        <v>4.0999999999999996</v>
      </c>
      <c r="AB11" s="1">
        <v>11.8</v>
      </c>
      <c r="AC11" s="1">
        <v>9.1999999999999993</v>
      </c>
      <c r="AD11" s="1">
        <v>6.6</v>
      </c>
      <c r="AE11" s="1">
        <v>5.6</v>
      </c>
      <c r="AF11" s="1">
        <v>4.5999999999999996</v>
      </c>
      <c r="AG11" s="1">
        <v>6.3</v>
      </c>
      <c r="AH11" s="1">
        <v>5.3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>
        <v>1.8</v>
      </c>
      <c r="AY11" s="1">
        <f>(R11*0.2)+R11</f>
        <v>1.8</v>
      </c>
      <c r="AZ11" s="1">
        <f>(S11*0.3)+S11</f>
        <v>2.34</v>
      </c>
      <c r="BA11" s="1">
        <f>(T11*0.45)+T11</f>
        <v>2.6100000000000003</v>
      </c>
      <c r="BB11" s="1">
        <f>(U11*0.6)+U11</f>
        <v>2.2399999999999998</v>
      </c>
      <c r="BC11" s="1">
        <f>(V11*0.75)+V11</f>
        <v>2.4499999999999997</v>
      </c>
      <c r="BD11" s="1">
        <f>(W11*0.9)+W11</f>
        <v>3.61</v>
      </c>
      <c r="BE11" s="1">
        <f>(X11*1.05)+X11</f>
        <v>4.92</v>
      </c>
      <c r="BF11" s="1">
        <f>(Y11*1.2)+Y11</f>
        <v>6.38</v>
      </c>
      <c r="BG11" s="1">
        <f>(Z11*1.35)+Z11</f>
        <v>16.685000000000002</v>
      </c>
      <c r="BH11" s="1">
        <f>(AA11*1.5)+AA11</f>
        <v>10.25</v>
      </c>
      <c r="BI11" s="1">
        <f>(AB11*1.7)+AB11</f>
        <v>31.860000000000003</v>
      </c>
      <c r="BJ11" s="1">
        <f>(AC11*1.9)+AC11</f>
        <v>26.679999999999996</v>
      </c>
      <c r="BK11" s="1">
        <f>(AD11*2.1)+AD11</f>
        <v>20.46</v>
      </c>
      <c r="BL11" s="1">
        <f>(AE11*2.3)+AE11</f>
        <v>18.479999999999997</v>
      </c>
      <c r="BM11" s="1">
        <f>(AF11*2.5)+AF11</f>
        <v>16.100000000000001</v>
      </c>
      <c r="BN11" s="1">
        <f>(AG11*2.7)+AG11</f>
        <v>23.310000000000002</v>
      </c>
      <c r="BO11" s="1">
        <f>(AH11*2.9)+AH11</f>
        <v>20.669999999999998</v>
      </c>
    </row>
    <row r="12" spans="1:67" ht="16" x14ac:dyDescent="0.2">
      <c r="A12" s="12" t="s">
        <v>618</v>
      </c>
      <c r="B12" s="16" t="s">
        <v>770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>
        <v>6.7</v>
      </c>
      <c r="AA12" s="1">
        <v>1.2</v>
      </c>
      <c r="AB12" s="1">
        <v>0.2</v>
      </c>
      <c r="AC12" s="1"/>
      <c r="AD12" s="1"/>
      <c r="AE12" s="1"/>
      <c r="AF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>
        <v>6.7</v>
      </c>
      <c r="BH12" s="1">
        <f>(AA12*0.15)+AA12</f>
        <v>1.38</v>
      </c>
      <c r="BI12" s="1">
        <f>(AB12*0.35)+AB12</f>
        <v>0.27</v>
      </c>
      <c r="BJ12" s="1"/>
      <c r="BK12" s="1"/>
      <c r="BL12" s="1"/>
      <c r="BM12" s="1"/>
      <c r="BN12" s="1"/>
      <c r="BO12" s="1"/>
    </row>
    <row r="13" spans="1:67" ht="16" x14ac:dyDescent="0.2">
      <c r="A13" s="12" t="s">
        <v>619</v>
      </c>
      <c r="B13" s="16" t="s">
        <v>771</v>
      </c>
      <c r="E13" s="1">
        <v>3.2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J13" s="1"/>
      <c r="AK13" s="1"/>
      <c r="AL13" s="1">
        <v>3.2</v>
      </c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7" ht="16" x14ac:dyDescent="0.2">
      <c r="A14" s="12" t="s">
        <v>620</v>
      </c>
      <c r="B14" s="16" t="s">
        <v>772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>
        <v>0.7</v>
      </c>
      <c r="AE14" s="1">
        <v>0.4</v>
      </c>
      <c r="AF14" s="1">
        <v>3.1</v>
      </c>
      <c r="AG14" s="1">
        <v>0.5</v>
      </c>
      <c r="AH14" s="1">
        <v>0.1</v>
      </c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>
        <v>0.7</v>
      </c>
      <c r="BL14" s="1">
        <f>(AE14*0.2)+AE14</f>
        <v>0.48000000000000004</v>
      </c>
      <c r="BM14" s="1">
        <f>(AF14*0.4)+AF14</f>
        <v>4.34</v>
      </c>
      <c r="BN14" s="1">
        <f>(AG14*0.6)+AG14</f>
        <v>0.8</v>
      </c>
      <c r="BO14" s="1">
        <f>(AH14*0.8)+AH14</f>
        <v>0.18000000000000002</v>
      </c>
    </row>
    <row r="15" spans="1:67" ht="16" x14ac:dyDescent="0.2">
      <c r="A15" s="12" t="s">
        <v>371</v>
      </c>
      <c r="B15" s="16" t="s">
        <v>773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1.7</v>
      </c>
      <c r="X15" s="1">
        <v>1.5</v>
      </c>
      <c r="Y15" s="1">
        <v>5.5</v>
      </c>
      <c r="Z15" s="1">
        <v>3.4</v>
      </c>
      <c r="AA15" s="1">
        <v>5</v>
      </c>
      <c r="AB15" s="1">
        <v>4.5</v>
      </c>
      <c r="AC15" s="1">
        <v>4.7</v>
      </c>
      <c r="AD15" s="1">
        <v>5.2</v>
      </c>
      <c r="AE15" s="1">
        <v>7.3</v>
      </c>
      <c r="AF15" s="1">
        <v>6.9</v>
      </c>
      <c r="AG15" s="1">
        <v>4.4000000000000004</v>
      </c>
      <c r="AH15" s="1">
        <v>5.0999999999999996</v>
      </c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>
        <v>1.7</v>
      </c>
      <c r="BE15" s="1">
        <f>(X15*0.15)+X15</f>
        <v>1.7250000000000001</v>
      </c>
      <c r="BF15" s="1">
        <f>(Y15*0.3)+Y15</f>
        <v>7.15</v>
      </c>
      <c r="BG15" s="1">
        <f>(Z15*0.45)+Z15</f>
        <v>4.93</v>
      </c>
      <c r="BH15" s="1">
        <f>(AA15*0.6)+AA15</f>
        <v>8</v>
      </c>
      <c r="BI15" s="1">
        <f>(AB15*0.8)+AB15</f>
        <v>8.1</v>
      </c>
      <c r="BJ15" s="1">
        <f>(AC15*1)+AC15</f>
        <v>9.4</v>
      </c>
      <c r="BK15" s="1">
        <f>(AD15*1.2)+AD15</f>
        <v>11.440000000000001</v>
      </c>
      <c r="BL15" s="1">
        <f>(AE15*1.4)+AE15</f>
        <v>17.52</v>
      </c>
      <c r="BM15" s="1">
        <f>(AF15*1.6)+AF15</f>
        <v>17.940000000000001</v>
      </c>
      <c r="BN15" s="1">
        <f>(AG15*1.8)+AG15</f>
        <v>12.32</v>
      </c>
      <c r="BO15" s="1">
        <f>(AH15*2)+AH15</f>
        <v>15.299999999999999</v>
      </c>
    </row>
    <row r="16" spans="1:67" ht="16" x14ac:dyDescent="0.2">
      <c r="A16" s="12" t="s">
        <v>149</v>
      </c>
      <c r="B16" s="16" t="s">
        <v>774</v>
      </c>
      <c r="Y16" s="1"/>
      <c r="Z16" s="3">
        <v>0.1</v>
      </c>
      <c r="AA16" s="1">
        <v>0.3</v>
      </c>
      <c r="AB16" s="1">
        <v>0.4</v>
      </c>
      <c r="AC16" s="1">
        <v>1.4</v>
      </c>
      <c r="AD16" s="1">
        <v>2.9</v>
      </c>
      <c r="AE16" s="1">
        <v>5.7</v>
      </c>
      <c r="AF16" s="1">
        <v>12.9</v>
      </c>
      <c r="AG16" s="1">
        <v>17.5</v>
      </c>
      <c r="AH16" s="1">
        <v>20.5</v>
      </c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>
        <f>(Z16*0.15)+Z16</f>
        <v>0.115</v>
      </c>
      <c r="BH16" s="1">
        <f>(AA16*0.3)+AA16</f>
        <v>0.39</v>
      </c>
      <c r="BI16" s="1">
        <f>(AB16*0.5)+AB16</f>
        <v>0.60000000000000009</v>
      </c>
      <c r="BJ16" s="1">
        <f>(AC16*0.7)+AC16</f>
        <v>2.38</v>
      </c>
      <c r="BK16" s="1">
        <f>(AD16*0.9)+AD16</f>
        <v>5.51</v>
      </c>
      <c r="BL16" s="1">
        <f>(AE16*1.1)+AE16</f>
        <v>11.97</v>
      </c>
      <c r="BM16" s="1">
        <f>(AF16*1.3)+AF16</f>
        <v>29.67</v>
      </c>
      <c r="BN16" s="1">
        <f>(AG16*1.5)+AG16</f>
        <v>43.75</v>
      </c>
      <c r="BO16" s="1">
        <f>(AH16*1.7)+AH16</f>
        <v>55.35</v>
      </c>
    </row>
    <row r="17" spans="1:67" x14ac:dyDescent="0.2">
      <c r="AI17" s="3" t="s">
        <v>14</v>
      </c>
      <c r="AJ17" s="1">
        <f>SUM(AJ2:AJ16)</f>
        <v>99.8</v>
      </c>
      <c r="AK17" s="1">
        <f t="shared" ref="AK17:BO17" si="31">SUM(AK2:AK16)</f>
        <v>114.655</v>
      </c>
      <c r="AL17" s="1">
        <f t="shared" si="31"/>
        <v>118.76</v>
      </c>
      <c r="AM17" s="1">
        <f t="shared" si="31"/>
        <v>131.60999999999999</v>
      </c>
      <c r="AN17" s="1">
        <f t="shared" si="31"/>
        <v>153.79499999999999</v>
      </c>
      <c r="AO17" s="1">
        <f t="shared" si="31"/>
        <v>169.27500000000003</v>
      </c>
      <c r="AP17" s="1">
        <f t="shared" si="31"/>
        <v>176.51999999999998</v>
      </c>
      <c r="AQ17" s="1">
        <f t="shared" si="31"/>
        <v>202.935</v>
      </c>
      <c r="AR17" s="1">
        <f t="shared" si="31"/>
        <v>220.86500000000004</v>
      </c>
      <c r="AS17" s="1">
        <f t="shared" si="31"/>
        <v>232.92500000000001</v>
      </c>
      <c r="AT17" s="1">
        <f t="shared" si="31"/>
        <v>251.26999999999998</v>
      </c>
      <c r="AU17" s="1">
        <f t="shared" si="31"/>
        <v>272.39</v>
      </c>
      <c r="AV17" s="1">
        <f t="shared" si="31"/>
        <v>287.71000000000004</v>
      </c>
      <c r="AW17" s="1">
        <f t="shared" si="31"/>
        <v>298.375</v>
      </c>
      <c r="AX17" s="1">
        <f t="shared" si="31"/>
        <v>308.59000000000003</v>
      </c>
      <c r="AY17" s="1">
        <f t="shared" si="31"/>
        <v>329.01499999999999</v>
      </c>
      <c r="AZ17" s="1">
        <f t="shared" si="31"/>
        <v>343.55499999999995</v>
      </c>
      <c r="BA17" s="1">
        <f t="shared" si="31"/>
        <v>364.94</v>
      </c>
      <c r="BB17" s="1">
        <f t="shared" si="31"/>
        <v>379.98000000000008</v>
      </c>
      <c r="BC17" s="1">
        <f t="shared" si="31"/>
        <v>393.35999999999996</v>
      </c>
      <c r="BD17" s="1">
        <f t="shared" si="31"/>
        <v>408.55500000000001</v>
      </c>
      <c r="BE17" s="1">
        <f t="shared" si="31"/>
        <v>408.51500000000004</v>
      </c>
      <c r="BF17" s="1">
        <f t="shared" si="31"/>
        <v>415.08</v>
      </c>
      <c r="BG17" s="1">
        <f t="shared" si="31"/>
        <v>403.77499999999998</v>
      </c>
      <c r="BH17" s="1">
        <f t="shared" si="31"/>
        <v>443.85999999999996</v>
      </c>
      <c r="BI17" s="1">
        <f t="shared" si="31"/>
        <v>445.91999999999996</v>
      </c>
      <c r="BJ17" s="1">
        <f t="shared" si="31"/>
        <v>462.53000000000003</v>
      </c>
      <c r="BK17" s="1">
        <f t="shared" si="31"/>
        <v>480.6099999999999</v>
      </c>
      <c r="BL17" s="1">
        <f t="shared" si="31"/>
        <v>494.27000000000004</v>
      </c>
      <c r="BM17" s="1">
        <f t="shared" si="31"/>
        <v>481.19499999999999</v>
      </c>
      <c r="BN17" s="1">
        <f t="shared" si="31"/>
        <v>499.66499999999996</v>
      </c>
      <c r="BO17" s="1">
        <f t="shared" si="31"/>
        <v>509.00500000000005</v>
      </c>
    </row>
    <row r="19" spans="1:67" x14ac:dyDescent="0.2">
      <c r="AJ19" s="1">
        <v>100</v>
      </c>
      <c r="AK19" s="1">
        <v>115</v>
      </c>
      <c r="AL19" s="1">
        <v>120</v>
      </c>
      <c r="AM19" s="1">
        <v>135</v>
      </c>
      <c r="AN19" s="1">
        <v>155</v>
      </c>
      <c r="AO19" s="1">
        <v>175</v>
      </c>
      <c r="AP19" s="1">
        <v>195</v>
      </c>
      <c r="AQ19" s="1">
        <v>215</v>
      </c>
      <c r="AR19" s="1">
        <v>235</v>
      </c>
      <c r="AS19" s="1">
        <v>255</v>
      </c>
      <c r="AT19" s="1">
        <v>275</v>
      </c>
      <c r="AU19" s="1">
        <v>295</v>
      </c>
      <c r="AV19" s="1">
        <v>305</v>
      </c>
      <c r="AW19" s="1">
        <v>315</v>
      </c>
      <c r="AX19" s="1">
        <v>335</v>
      </c>
      <c r="AY19" s="1">
        <v>355</v>
      </c>
      <c r="AZ19" s="1">
        <v>365</v>
      </c>
      <c r="BA19" s="1">
        <v>380</v>
      </c>
      <c r="BB19" s="1">
        <v>395</v>
      </c>
      <c r="BC19" s="1">
        <v>410</v>
      </c>
      <c r="BD19" s="1">
        <v>425</v>
      </c>
      <c r="BE19" s="1">
        <v>440</v>
      </c>
      <c r="BF19" s="1">
        <v>455</v>
      </c>
      <c r="BG19" s="1">
        <v>470</v>
      </c>
      <c r="BH19" s="1">
        <v>485</v>
      </c>
      <c r="BI19" s="1">
        <v>505</v>
      </c>
      <c r="BJ19" s="1">
        <v>525</v>
      </c>
      <c r="BK19" s="1">
        <v>545</v>
      </c>
      <c r="BL19" s="1">
        <v>565</v>
      </c>
      <c r="BM19" s="1">
        <v>585</v>
      </c>
      <c r="BN19" s="1">
        <v>605</v>
      </c>
      <c r="BO19" s="1">
        <v>625</v>
      </c>
    </row>
    <row r="21" spans="1:67" x14ac:dyDescent="0.2">
      <c r="AJ21" s="1">
        <f>AJ17</f>
        <v>99.8</v>
      </c>
      <c r="AK21" s="1">
        <f>SUM(AJ21+AK17)</f>
        <v>214.45499999999998</v>
      </c>
      <c r="AL21" s="1">
        <f>SUM(AK21+AL17)</f>
        <v>333.21499999999997</v>
      </c>
      <c r="AM21" s="1">
        <f t="shared" ref="AM21:BO21" si="32">SUM(AL21+AM17)</f>
        <v>464.82499999999993</v>
      </c>
      <c r="AN21" s="1">
        <f t="shared" si="32"/>
        <v>618.61999999999989</v>
      </c>
      <c r="AO21" s="1">
        <f t="shared" si="32"/>
        <v>787.89499999999998</v>
      </c>
      <c r="AP21" s="1">
        <f t="shared" si="32"/>
        <v>964.41499999999996</v>
      </c>
      <c r="AQ21" s="1">
        <f t="shared" si="32"/>
        <v>1167.3499999999999</v>
      </c>
      <c r="AR21" s="1">
        <f t="shared" si="32"/>
        <v>1388.2149999999999</v>
      </c>
      <c r="AS21" s="1">
        <f t="shared" si="32"/>
        <v>1621.1399999999999</v>
      </c>
      <c r="AT21" s="1">
        <f t="shared" si="32"/>
        <v>1872.4099999999999</v>
      </c>
      <c r="AU21" s="1">
        <f t="shared" si="32"/>
        <v>2144.7999999999997</v>
      </c>
      <c r="AV21" s="1">
        <f t="shared" si="32"/>
        <v>2432.5099999999998</v>
      </c>
      <c r="AW21" s="1">
        <f t="shared" si="32"/>
        <v>2730.8849999999998</v>
      </c>
      <c r="AX21" s="1">
        <f t="shared" si="32"/>
        <v>3039.4749999999999</v>
      </c>
      <c r="AY21" s="1">
        <f t="shared" si="32"/>
        <v>3368.49</v>
      </c>
      <c r="AZ21" s="1">
        <f t="shared" si="32"/>
        <v>3712.0449999999996</v>
      </c>
      <c r="BA21" s="1">
        <f t="shared" si="32"/>
        <v>4076.9849999999997</v>
      </c>
      <c r="BB21" s="1">
        <f t="shared" si="32"/>
        <v>4456.9650000000001</v>
      </c>
      <c r="BC21" s="1">
        <f t="shared" si="32"/>
        <v>4850.3249999999998</v>
      </c>
      <c r="BD21" s="1">
        <f t="shared" si="32"/>
        <v>5258.88</v>
      </c>
      <c r="BE21" s="1">
        <f t="shared" si="32"/>
        <v>5667.3950000000004</v>
      </c>
      <c r="BF21" s="1">
        <f t="shared" si="32"/>
        <v>6082.4750000000004</v>
      </c>
      <c r="BG21" s="1">
        <f t="shared" si="32"/>
        <v>6486.25</v>
      </c>
      <c r="BH21" s="1">
        <f t="shared" si="32"/>
        <v>6930.11</v>
      </c>
      <c r="BI21" s="1">
        <f t="shared" si="32"/>
        <v>7376.03</v>
      </c>
      <c r="BJ21" s="1">
        <f t="shared" si="32"/>
        <v>7838.5599999999995</v>
      </c>
      <c r="BK21" s="1">
        <f t="shared" si="32"/>
        <v>8319.17</v>
      </c>
      <c r="BL21" s="1">
        <f t="shared" si="32"/>
        <v>8813.44</v>
      </c>
      <c r="BM21" s="1">
        <f t="shared" si="32"/>
        <v>9294.6350000000002</v>
      </c>
      <c r="BN21" s="1">
        <f t="shared" si="32"/>
        <v>9794.2999999999993</v>
      </c>
      <c r="BO21" s="1">
        <f t="shared" si="32"/>
        <v>10303.304999999998</v>
      </c>
    </row>
    <row r="22" spans="1:67" ht="16" x14ac:dyDescent="0.2">
      <c r="A22" s="15"/>
      <c r="B22" s="15"/>
      <c r="C22" s="16"/>
      <c r="AJ22" s="3"/>
      <c r="AK22" s="3"/>
      <c r="AL22" s="3"/>
      <c r="AM22" s="1"/>
      <c r="AN22" s="1"/>
      <c r="AO22" s="3"/>
      <c r="AP22" s="3"/>
      <c r="AQ22" s="3"/>
      <c r="AR22" s="3"/>
      <c r="AS22" s="28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7" ht="16" x14ac:dyDescent="0.2">
      <c r="A23" s="15"/>
      <c r="B23" s="15"/>
      <c r="C23" s="16"/>
      <c r="AJ23" s="1">
        <v>100</v>
      </c>
      <c r="AK23" s="1">
        <f>SUM(AJ23+AK19)</f>
        <v>215</v>
      </c>
      <c r="AL23" s="1">
        <f>SUM(AK23+AL19)</f>
        <v>335</v>
      </c>
      <c r="AM23" s="1">
        <f t="shared" ref="AM23:BO23" si="33">SUM(AL23+AM19)</f>
        <v>470</v>
      </c>
      <c r="AN23" s="1">
        <f t="shared" si="33"/>
        <v>625</v>
      </c>
      <c r="AO23" s="1">
        <f t="shared" si="33"/>
        <v>800</v>
      </c>
      <c r="AP23" s="1">
        <f t="shared" si="33"/>
        <v>995</v>
      </c>
      <c r="AQ23" s="1">
        <f t="shared" si="33"/>
        <v>1210</v>
      </c>
      <c r="AR23" s="1">
        <f t="shared" si="33"/>
        <v>1445</v>
      </c>
      <c r="AS23" s="1">
        <f t="shared" si="33"/>
        <v>1700</v>
      </c>
      <c r="AT23" s="1">
        <f t="shared" si="33"/>
        <v>1975</v>
      </c>
      <c r="AU23" s="1">
        <f t="shared" si="33"/>
        <v>2270</v>
      </c>
      <c r="AV23" s="1">
        <f t="shared" si="33"/>
        <v>2575</v>
      </c>
      <c r="AW23" s="1">
        <f t="shared" si="33"/>
        <v>2890</v>
      </c>
      <c r="AX23" s="1">
        <f t="shared" si="33"/>
        <v>3225</v>
      </c>
      <c r="AY23" s="1">
        <f t="shared" si="33"/>
        <v>3580</v>
      </c>
      <c r="AZ23" s="1">
        <f t="shared" si="33"/>
        <v>3945</v>
      </c>
      <c r="BA23" s="1">
        <f t="shared" si="33"/>
        <v>4325</v>
      </c>
      <c r="BB23" s="1">
        <f t="shared" si="33"/>
        <v>4720</v>
      </c>
      <c r="BC23" s="1">
        <f t="shared" si="33"/>
        <v>5130</v>
      </c>
      <c r="BD23" s="1">
        <f t="shared" si="33"/>
        <v>5555</v>
      </c>
      <c r="BE23" s="1">
        <f t="shared" si="33"/>
        <v>5995</v>
      </c>
      <c r="BF23" s="1">
        <f t="shared" si="33"/>
        <v>6450</v>
      </c>
      <c r="BG23" s="1">
        <f t="shared" si="33"/>
        <v>6920</v>
      </c>
      <c r="BH23" s="1">
        <f t="shared" si="33"/>
        <v>7405</v>
      </c>
      <c r="BI23" s="1">
        <f t="shared" si="33"/>
        <v>7910</v>
      </c>
      <c r="BJ23" s="1">
        <f t="shared" si="33"/>
        <v>8435</v>
      </c>
      <c r="BK23" s="1">
        <f t="shared" si="33"/>
        <v>8980</v>
      </c>
      <c r="BL23" s="1">
        <f t="shared" si="33"/>
        <v>9545</v>
      </c>
      <c r="BM23" s="1">
        <f t="shared" si="33"/>
        <v>10130</v>
      </c>
      <c r="BN23" s="1">
        <f t="shared" si="33"/>
        <v>10735</v>
      </c>
      <c r="BO23" s="1">
        <f t="shared" si="33"/>
        <v>11360</v>
      </c>
    </row>
    <row r="24" spans="1:67" ht="16" x14ac:dyDescent="0.2">
      <c r="A24" s="15"/>
      <c r="B24" s="15"/>
      <c r="C24" s="16"/>
    </row>
    <row r="25" spans="1:67" ht="16" x14ac:dyDescent="0.2">
      <c r="A25" s="15"/>
      <c r="B25" s="15"/>
      <c r="C25" s="16"/>
      <c r="AJ25" s="4" t="s">
        <v>1563</v>
      </c>
      <c r="AK25" s="4" t="s">
        <v>1563</v>
      </c>
      <c r="AL25" s="4" t="s">
        <v>1563</v>
      </c>
      <c r="AM25" s="4" t="s">
        <v>1563</v>
      </c>
      <c r="AN25" s="4" t="s">
        <v>1563</v>
      </c>
      <c r="AO25" s="4" t="s">
        <v>1563</v>
      </c>
      <c r="AP25" s="4" t="s">
        <v>1563</v>
      </c>
      <c r="AQ25" s="4" t="s">
        <v>1563</v>
      </c>
      <c r="AR25" s="4" t="s">
        <v>1563</v>
      </c>
      <c r="AS25" s="4" t="s">
        <v>1563</v>
      </c>
      <c r="AT25" s="4" t="s">
        <v>1563</v>
      </c>
      <c r="AU25" s="4" t="s">
        <v>1563</v>
      </c>
      <c r="AV25" s="4" t="s">
        <v>1563</v>
      </c>
      <c r="AW25" s="4" t="s">
        <v>1563</v>
      </c>
      <c r="AX25" s="4" t="s">
        <v>1563</v>
      </c>
      <c r="AY25" s="4" t="s">
        <v>1563</v>
      </c>
      <c r="AZ25" s="4" t="s">
        <v>1563</v>
      </c>
      <c r="BA25" s="4" t="s">
        <v>1563</v>
      </c>
      <c r="BB25" s="4" t="s">
        <v>1563</v>
      </c>
      <c r="BC25" s="4" t="s">
        <v>1563</v>
      </c>
      <c r="BD25" s="4" t="s">
        <v>1563</v>
      </c>
      <c r="BE25" s="4" t="s">
        <v>1563</v>
      </c>
      <c r="BF25" s="4" t="s">
        <v>1563</v>
      </c>
      <c r="BG25" s="4" t="s">
        <v>1563</v>
      </c>
      <c r="BH25" s="4" t="s">
        <v>1563</v>
      </c>
      <c r="BI25" s="4" t="s">
        <v>1563</v>
      </c>
      <c r="BJ25" s="4" t="s">
        <v>1563</v>
      </c>
      <c r="BK25" s="4" t="s">
        <v>1563</v>
      </c>
      <c r="BL25" s="4" t="s">
        <v>1563</v>
      </c>
      <c r="BM25" s="4" t="s">
        <v>1563</v>
      </c>
      <c r="BN25" s="4" t="s">
        <v>1563</v>
      </c>
      <c r="BO25" s="4" t="s">
        <v>1563</v>
      </c>
    </row>
    <row r="26" spans="1:67" ht="16" x14ac:dyDescent="0.2">
      <c r="A26" s="15"/>
      <c r="B26" s="15"/>
      <c r="C26" s="16"/>
      <c r="AJ26" s="6">
        <f>(AJ21/AJ23)*100</f>
        <v>99.8</v>
      </c>
      <c r="AK26" s="6">
        <f>(AK21/AK23)*100</f>
        <v>99.746511627906969</v>
      </c>
      <c r="AL26" s="6">
        <f>(AL21/AL23)*100</f>
        <v>99.467164179104472</v>
      </c>
      <c r="AM26" s="6">
        <f t="shared" ref="AM26:BO26" si="34">(AM21/AM23)*100</f>
        <v>98.89893617021275</v>
      </c>
      <c r="AN26" s="6">
        <f t="shared" si="34"/>
        <v>98.979199999999977</v>
      </c>
      <c r="AO26" s="6">
        <f t="shared" si="34"/>
        <v>98.486874999999998</v>
      </c>
      <c r="AP26" s="6">
        <f t="shared" si="34"/>
        <v>96.926130653266327</v>
      </c>
      <c r="AQ26" s="6">
        <f t="shared" si="34"/>
        <v>96.475206611570243</v>
      </c>
      <c r="AR26" s="6">
        <f t="shared" si="34"/>
        <v>96.070242214532868</v>
      </c>
      <c r="AS26" s="6">
        <f t="shared" si="34"/>
        <v>95.361176470588234</v>
      </c>
      <c r="AT26" s="6">
        <f t="shared" si="34"/>
        <v>94.805569620253166</v>
      </c>
      <c r="AU26" s="6">
        <f t="shared" si="34"/>
        <v>94.48458149779735</v>
      </c>
      <c r="AV26" s="6">
        <f t="shared" si="34"/>
        <v>94.466407766990272</v>
      </c>
      <c r="AW26" s="6">
        <f t="shared" si="34"/>
        <v>94.494290657439436</v>
      </c>
      <c r="AX26" s="6">
        <f t="shared" si="34"/>
        <v>94.247286821705416</v>
      </c>
      <c r="AY26" s="6">
        <f t="shared" si="34"/>
        <v>94.091899441340772</v>
      </c>
      <c r="AZ26" s="6">
        <f t="shared" si="34"/>
        <v>94.094930291508234</v>
      </c>
      <c r="BA26" s="6">
        <f t="shared" si="34"/>
        <v>94.265549132947967</v>
      </c>
      <c r="BB26" s="6">
        <f t="shared" si="34"/>
        <v>94.427224576271186</v>
      </c>
      <c r="BC26" s="6">
        <f t="shared" si="34"/>
        <v>94.548245614035082</v>
      </c>
      <c r="BD26" s="6">
        <f t="shared" si="34"/>
        <v>94.669306930693082</v>
      </c>
      <c r="BE26" s="6">
        <f t="shared" si="34"/>
        <v>94.535362802335285</v>
      </c>
      <c r="BF26" s="6">
        <f t="shared" si="34"/>
        <v>94.301937984496135</v>
      </c>
      <c r="BG26" s="6">
        <f t="shared" si="34"/>
        <v>93.731936416184965</v>
      </c>
      <c r="BH26" s="6">
        <f t="shared" si="34"/>
        <v>93.586900742741392</v>
      </c>
      <c r="BI26" s="6">
        <f t="shared" si="34"/>
        <v>93.249431099873576</v>
      </c>
      <c r="BJ26" s="6">
        <f t="shared" si="34"/>
        <v>92.928986366330761</v>
      </c>
      <c r="BK26" s="6">
        <f t="shared" si="34"/>
        <v>92.641091314031172</v>
      </c>
      <c r="BL26" s="6">
        <f t="shared" si="34"/>
        <v>92.335673127291784</v>
      </c>
      <c r="BM26" s="6">
        <f t="shared" si="34"/>
        <v>91.7535538005923</v>
      </c>
      <c r="BN26" s="6">
        <f t="shared" si="34"/>
        <v>91.237074988355843</v>
      </c>
      <c r="BO26" s="6">
        <f t="shared" si="34"/>
        <v>90.698107394366176</v>
      </c>
    </row>
    <row r="27" spans="1:67" ht="16" x14ac:dyDescent="0.2">
      <c r="A27" s="15"/>
      <c r="B27" s="15"/>
      <c r="C27" s="16"/>
    </row>
    <row r="28" spans="1:67" ht="16" x14ac:dyDescent="0.2">
      <c r="A28" s="15"/>
      <c r="B28" s="15"/>
      <c r="C28" s="16"/>
    </row>
    <row r="29" spans="1:67" ht="16" x14ac:dyDescent="0.2">
      <c r="A29" s="15"/>
      <c r="B29" s="15"/>
      <c r="C29" s="16"/>
    </row>
    <row r="30" spans="1:67" ht="16" x14ac:dyDescent="0.2">
      <c r="A30" s="15"/>
      <c r="B30" s="15"/>
      <c r="C30" s="16"/>
    </row>
    <row r="31" spans="1:67" ht="16" x14ac:dyDescent="0.2">
      <c r="A31" s="15"/>
      <c r="B31" s="15"/>
      <c r="C31" s="16"/>
    </row>
    <row r="32" spans="1:67" ht="16" x14ac:dyDescent="0.2">
      <c r="A32" s="15"/>
      <c r="B32" s="15"/>
      <c r="C32" s="16"/>
    </row>
    <row r="33" spans="1:3" ht="16" x14ac:dyDescent="0.2">
      <c r="A33" s="15"/>
      <c r="B33" s="15"/>
      <c r="C33" s="16"/>
    </row>
    <row r="34" spans="1:3" ht="16" x14ac:dyDescent="0.2">
      <c r="A34" s="15"/>
      <c r="B34" s="15"/>
      <c r="C34" s="16"/>
    </row>
    <row r="35" spans="1:3" ht="16" x14ac:dyDescent="0.2">
      <c r="A35" s="15"/>
      <c r="B35" s="15"/>
      <c r="C35" s="16"/>
    </row>
    <row r="36" spans="1:3" ht="16" x14ac:dyDescent="0.2">
      <c r="A36" s="15"/>
      <c r="B36" s="15"/>
      <c r="C36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BX41"/>
  <sheetViews>
    <sheetView topLeftCell="AD2" workbookViewId="0">
      <selection activeCell="AN28" sqref="AN28:BW28"/>
    </sheetView>
  </sheetViews>
  <sheetFormatPr baseColWidth="10" defaultRowHeight="15" x14ac:dyDescent="0.2"/>
  <cols>
    <col min="2" max="2" width="39.6640625" customWidth="1"/>
    <col min="43" max="43" width="11.83203125" bestFit="1" customWidth="1"/>
  </cols>
  <sheetData>
    <row r="1" spans="1:76" ht="16" x14ac:dyDescent="0.2">
      <c r="A1" s="3" t="s">
        <v>15</v>
      </c>
      <c r="B1" s="24" t="s">
        <v>681</v>
      </c>
      <c r="C1" s="3">
        <v>1896</v>
      </c>
      <c r="D1" s="3">
        <v>1899</v>
      </c>
      <c r="E1" s="3">
        <v>1902</v>
      </c>
      <c r="F1" s="3">
        <v>1905</v>
      </c>
      <c r="G1" s="3">
        <v>1908</v>
      </c>
      <c r="H1" s="3">
        <v>1911</v>
      </c>
      <c r="I1" s="3">
        <v>1914</v>
      </c>
      <c r="J1" s="3">
        <v>1917</v>
      </c>
      <c r="K1" s="3">
        <v>1919</v>
      </c>
      <c r="L1" s="3">
        <v>1922</v>
      </c>
      <c r="M1" s="3">
        <v>1925</v>
      </c>
      <c r="N1" s="3">
        <v>1928</v>
      </c>
      <c r="O1" s="3">
        <v>1931</v>
      </c>
      <c r="P1" s="3">
        <v>1935</v>
      </c>
      <c r="Q1" s="3">
        <v>1939</v>
      </c>
      <c r="R1" s="3">
        <v>1943</v>
      </c>
      <c r="S1" s="3">
        <v>1947</v>
      </c>
      <c r="T1" s="3">
        <v>1951</v>
      </c>
      <c r="U1" s="3">
        <v>1955</v>
      </c>
      <c r="V1" s="3">
        <v>1959</v>
      </c>
      <c r="W1" s="3">
        <v>1963</v>
      </c>
      <c r="X1" s="3">
        <v>1967</v>
      </c>
      <c r="Y1" s="3">
        <v>1971</v>
      </c>
      <c r="Z1" s="3">
        <v>1975</v>
      </c>
      <c r="AA1" s="3">
        <v>1979</v>
      </c>
      <c r="AB1" s="3">
        <v>1983</v>
      </c>
      <c r="AC1" s="3">
        <v>1987</v>
      </c>
      <c r="AD1" s="3">
        <v>1991</v>
      </c>
      <c r="AE1" s="3">
        <v>1995</v>
      </c>
      <c r="AF1" s="3">
        <v>1999</v>
      </c>
      <c r="AG1" s="3">
        <v>2003</v>
      </c>
      <c r="AH1" s="3">
        <v>2007</v>
      </c>
      <c r="AI1" s="3">
        <v>2011</v>
      </c>
      <c r="AJ1" s="3">
        <v>2015</v>
      </c>
      <c r="AK1" s="3">
        <v>2019</v>
      </c>
      <c r="AL1" s="3">
        <v>2023</v>
      </c>
      <c r="AM1" s="3"/>
      <c r="AN1" s="3">
        <v>1896</v>
      </c>
      <c r="AO1" s="3">
        <v>1899</v>
      </c>
      <c r="AP1" s="3">
        <v>1902</v>
      </c>
      <c r="AQ1" s="3">
        <v>1905</v>
      </c>
      <c r="AR1" s="3">
        <v>1908</v>
      </c>
      <c r="AS1" s="3">
        <v>1911</v>
      </c>
      <c r="AT1" s="3">
        <v>1914</v>
      </c>
      <c r="AU1" s="3">
        <v>1917</v>
      </c>
      <c r="AV1" s="3">
        <v>1919</v>
      </c>
      <c r="AW1" s="3">
        <v>1922</v>
      </c>
      <c r="AX1" s="3">
        <v>1925</v>
      </c>
      <c r="AY1" s="3">
        <v>1928</v>
      </c>
      <c r="AZ1" s="3">
        <v>1931</v>
      </c>
      <c r="BA1" s="3">
        <v>1935</v>
      </c>
      <c r="BB1" s="3">
        <v>1939</v>
      </c>
      <c r="BC1" s="3">
        <v>1943</v>
      </c>
      <c r="BD1" s="3">
        <v>1947</v>
      </c>
      <c r="BE1" s="3">
        <v>1951</v>
      </c>
      <c r="BF1" s="3">
        <v>1955</v>
      </c>
      <c r="BG1" s="3">
        <v>1959</v>
      </c>
      <c r="BH1" s="3">
        <v>1963</v>
      </c>
      <c r="BI1" s="3">
        <v>1967</v>
      </c>
      <c r="BJ1" s="3">
        <v>1971</v>
      </c>
      <c r="BK1" s="3">
        <v>1975</v>
      </c>
      <c r="BL1" s="3">
        <v>1979</v>
      </c>
      <c r="BM1" s="3">
        <v>1983</v>
      </c>
      <c r="BN1" s="3">
        <v>1987</v>
      </c>
      <c r="BO1" s="3">
        <v>1991</v>
      </c>
      <c r="BP1" s="3">
        <v>1995</v>
      </c>
      <c r="BQ1" s="3">
        <v>1999</v>
      </c>
      <c r="BR1" s="3">
        <v>2003</v>
      </c>
      <c r="BS1" s="3">
        <v>2007</v>
      </c>
      <c r="BT1" s="3">
        <v>2011</v>
      </c>
      <c r="BU1" s="3">
        <v>2015</v>
      </c>
      <c r="BV1" s="3">
        <v>2019</v>
      </c>
      <c r="BW1" s="3">
        <v>2023</v>
      </c>
    </row>
    <row r="2" spans="1:76" ht="16" x14ac:dyDescent="0.2">
      <c r="A2" s="1" t="s">
        <v>275</v>
      </c>
      <c r="B2" s="16" t="s">
        <v>745</v>
      </c>
      <c r="C2" s="1">
        <v>48.7</v>
      </c>
      <c r="D2" s="1">
        <v>49.7</v>
      </c>
      <c r="E2" s="1">
        <v>50.4</v>
      </c>
      <c r="F2" s="1">
        <v>49.2</v>
      </c>
      <c r="G2" s="1">
        <v>50.9</v>
      </c>
      <c r="H2" s="1">
        <v>49.5</v>
      </c>
      <c r="I2" s="1">
        <v>56.1</v>
      </c>
      <c r="J2" s="1">
        <v>40.799999999999997</v>
      </c>
      <c r="K2" s="1">
        <v>28.8</v>
      </c>
      <c r="L2" s="1">
        <v>28.3</v>
      </c>
      <c r="M2" s="1">
        <v>27.8</v>
      </c>
      <c r="N2" s="1">
        <v>27.4</v>
      </c>
      <c r="O2" s="1">
        <v>16.899999999999999</v>
      </c>
      <c r="P2" s="1">
        <v>23.7</v>
      </c>
      <c r="Q2" s="1">
        <v>20.7</v>
      </c>
      <c r="R2" s="1">
        <v>22.5</v>
      </c>
      <c r="S2" s="1">
        <v>23</v>
      </c>
      <c r="T2" s="1">
        <v>24</v>
      </c>
      <c r="U2" s="1">
        <v>23.3</v>
      </c>
      <c r="V2" s="1">
        <v>23.7</v>
      </c>
      <c r="W2" s="1">
        <v>23.9</v>
      </c>
      <c r="X2" s="1">
        <v>23.5</v>
      </c>
      <c r="Y2" s="1">
        <v>21.7</v>
      </c>
      <c r="Z2" s="1">
        <v>22.2</v>
      </c>
      <c r="AA2" s="1">
        <v>24</v>
      </c>
      <c r="AB2" s="1">
        <v>23.3</v>
      </c>
      <c r="AC2" s="1">
        <v>22.9</v>
      </c>
      <c r="AD2" s="1">
        <v>21</v>
      </c>
      <c r="AE2" s="1">
        <v>20.2</v>
      </c>
      <c r="AF2" s="1">
        <v>19.899999999999999</v>
      </c>
      <c r="AG2" s="1">
        <v>17.3</v>
      </c>
      <c r="AH2" s="1">
        <v>15.8</v>
      </c>
      <c r="AL2" s="1"/>
      <c r="AM2" s="1"/>
      <c r="AN2" s="1">
        <v>48.7</v>
      </c>
      <c r="AO2" s="1">
        <f>(D2*0.15)+D2</f>
        <v>57.155000000000001</v>
      </c>
      <c r="AP2" s="1">
        <f>(E2*0.3)+E2</f>
        <v>65.52</v>
      </c>
      <c r="AQ2" s="1">
        <f>(F2*0.45)+F2</f>
        <v>71.34</v>
      </c>
      <c r="AR2" s="1">
        <f>(G2*0.6)+G2</f>
        <v>81.44</v>
      </c>
      <c r="AS2" s="1">
        <f>(H2*0.75)+H2</f>
        <v>86.625</v>
      </c>
      <c r="AT2" s="1">
        <f>(I2*0.9)+I2</f>
        <v>106.59</v>
      </c>
      <c r="AU2" s="1">
        <f>(J2*1.05)+J2</f>
        <v>83.639999999999986</v>
      </c>
      <c r="AV2" s="1">
        <f>(K2*1.15)+K2</f>
        <v>61.92</v>
      </c>
      <c r="AW2" s="1">
        <f>(L2*1.3)+L2</f>
        <v>65.09</v>
      </c>
      <c r="AX2" s="1">
        <f>(M2*1.45)+M2</f>
        <v>68.11</v>
      </c>
      <c r="AY2" s="1">
        <f>(N2*1.6)+N2</f>
        <v>71.240000000000009</v>
      </c>
      <c r="AZ2" s="1">
        <f>(O2*1.75)+O2</f>
        <v>46.474999999999994</v>
      </c>
      <c r="BA2" s="1">
        <f>(P2*1.95)+P2</f>
        <v>69.914999999999992</v>
      </c>
      <c r="BB2" s="1">
        <f>(Q2*2.15)+Q2</f>
        <v>65.204999999999998</v>
      </c>
      <c r="BC2" s="1">
        <f>(R2*2.35)+R2</f>
        <v>75.375</v>
      </c>
      <c r="BD2" s="1">
        <f>(S2*2.55)+S2</f>
        <v>81.650000000000006</v>
      </c>
      <c r="BE2" s="1">
        <f>(T2*2.75)+T2</f>
        <v>90</v>
      </c>
      <c r="BF2" s="1">
        <f>(U2*2.95)+U2</f>
        <v>92.034999999999997</v>
      </c>
      <c r="BG2" s="1">
        <f>(V2*3.15)+V2</f>
        <v>98.355000000000004</v>
      </c>
      <c r="BH2" s="1">
        <f>(W2*3.35)+W2</f>
        <v>103.965</v>
      </c>
      <c r="BI2" s="1">
        <f>(X2*3.55)+X2</f>
        <v>106.925</v>
      </c>
      <c r="BJ2" s="1">
        <f>(Y2*3.75)+Y2</f>
        <v>103.075</v>
      </c>
      <c r="BK2" s="1">
        <f>(Z2*3.95)+Z2</f>
        <v>109.89</v>
      </c>
      <c r="BL2" s="1">
        <f>(AA2*4.15)+AA2</f>
        <v>123.60000000000001</v>
      </c>
      <c r="BM2" s="1">
        <f>(AB2*4.35)+AB2</f>
        <v>124.65499999999999</v>
      </c>
      <c r="BN2" s="1">
        <f>(AC2*4.55)+AC2</f>
        <v>127.095</v>
      </c>
      <c r="BO2" s="1">
        <f>(AD2*4.75)+AD2</f>
        <v>120.75</v>
      </c>
      <c r="BP2" s="1">
        <f>(AE2*4.95)+AE2</f>
        <v>120.19</v>
      </c>
      <c r="BQ2" s="1">
        <f>(AF2*5.15)+AF2</f>
        <v>122.38499999999999</v>
      </c>
      <c r="BR2" s="1">
        <f>(AG2*5.35)+AG2</f>
        <v>109.85499999999999</v>
      </c>
      <c r="BS2" s="1">
        <f>(AH2*5.55)+AH2</f>
        <v>103.49</v>
      </c>
      <c r="BT2" s="1"/>
      <c r="BU2" s="1"/>
    </row>
    <row r="3" spans="1:76" ht="16" x14ac:dyDescent="0.2">
      <c r="A3" s="1" t="s">
        <v>158</v>
      </c>
      <c r="B3" s="16" t="s">
        <v>437</v>
      </c>
      <c r="C3" s="1">
        <v>6.8</v>
      </c>
      <c r="D3" s="1">
        <v>9.6</v>
      </c>
      <c r="E3" s="1">
        <v>12.6</v>
      </c>
      <c r="F3" s="1">
        <v>14.7</v>
      </c>
      <c r="G3" s="1">
        <v>17.600000000000001</v>
      </c>
      <c r="H3" s="1">
        <v>20</v>
      </c>
      <c r="I3" s="1">
        <v>10.1</v>
      </c>
      <c r="J3" s="1">
        <v>30.8</v>
      </c>
      <c r="K3" s="1">
        <v>23.5</v>
      </c>
      <c r="L3" s="1">
        <v>23.3</v>
      </c>
      <c r="M3" s="1">
        <v>25.8</v>
      </c>
      <c r="N3" s="1">
        <v>27.4</v>
      </c>
      <c r="O3" s="1">
        <v>28.7</v>
      </c>
      <c r="P3" s="1">
        <v>28</v>
      </c>
      <c r="Q3" s="1">
        <v>25.9</v>
      </c>
      <c r="R3" s="1">
        <v>28.6</v>
      </c>
      <c r="S3" s="1">
        <v>26.2</v>
      </c>
      <c r="T3" s="1">
        <v>26</v>
      </c>
      <c r="U3" s="1">
        <v>27</v>
      </c>
      <c r="V3" s="1">
        <v>26.4</v>
      </c>
      <c r="W3" s="1">
        <v>26.6</v>
      </c>
      <c r="X3" s="1">
        <v>23.2</v>
      </c>
      <c r="Y3" s="1">
        <v>22.9</v>
      </c>
      <c r="Z3" s="1">
        <v>24.9</v>
      </c>
      <c r="AA3" s="1">
        <v>24.4</v>
      </c>
      <c r="AB3" s="1">
        <v>22.8</v>
      </c>
      <c r="AC3" s="1">
        <v>18.399999999999999</v>
      </c>
      <c r="AD3" s="1">
        <v>18.5</v>
      </c>
      <c r="AE3" s="1">
        <v>21.8</v>
      </c>
      <c r="AF3" s="1">
        <v>22.5</v>
      </c>
      <c r="AG3" s="1">
        <v>23.3</v>
      </c>
      <c r="AH3" s="1">
        <v>19.5</v>
      </c>
      <c r="AI3" s="1">
        <v>18.7</v>
      </c>
      <c r="AJ3" s="1">
        <v>18.8</v>
      </c>
      <c r="AK3" s="1">
        <v>16.8</v>
      </c>
      <c r="AL3" s="1">
        <v>18.3</v>
      </c>
      <c r="AM3" s="1"/>
      <c r="AN3" s="1">
        <v>6.8</v>
      </c>
      <c r="AO3" s="1">
        <f t="shared" ref="AO3:AO6" si="0">(D3*0.15)+D3</f>
        <v>11.04</v>
      </c>
      <c r="AP3" s="1">
        <f t="shared" ref="AP3:AP6" si="1">(E3*0.3)+E3</f>
        <v>16.38</v>
      </c>
      <c r="AQ3" s="1">
        <f t="shared" ref="AQ3:AQ6" si="2">(F3*0.45)+F3</f>
        <v>21.314999999999998</v>
      </c>
      <c r="AR3" s="1">
        <f t="shared" ref="AR3:AR6" si="3">(G3*0.6)+G3</f>
        <v>28.160000000000004</v>
      </c>
      <c r="AS3" s="1">
        <f t="shared" ref="AS3:AS6" si="4">(H3*0.75)+H3</f>
        <v>35</v>
      </c>
      <c r="AT3" s="1">
        <f t="shared" ref="AT3:AT6" si="5">(I3*0.9)+I3</f>
        <v>19.189999999999998</v>
      </c>
      <c r="AU3" s="1">
        <f t="shared" ref="AU3:AU6" si="6">(J3*1.05)+J3</f>
        <v>63.14</v>
      </c>
      <c r="AV3" s="1">
        <f t="shared" ref="AV3:AV6" si="7">(K3*1.15)+K3</f>
        <v>50.524999999999999</v>
      </c>
      <c r="AW3" s="1">
        <f t="shared" ref="AW3:AW6" si="8">(L3*1.3)+L3</f>
        <v>53.59</v>
      </c>
      <c r="AX3" s="1">
        <f t="shared" ref="AX3:AX6" si="9">(M3*1.45)+M3</f>
        <v>63.209999999999994</v>
      </c>
      <c r="AY3" s="1">
        <f t="shared" ref="AY3:AY6" si="10">(N3*1.6)+N3</f>
        <v>71.240000000000009</v>
      </c>
      <c r="AZ3" s="1">
        <f t="shared" ref="AZ3:AZ6" si="11">(O3*1.75)+O3</f>
        <v>78.924999999999997</v>
      </c>
      <c r="BA3" s="1">
        <f t="shared" ref="BA3:BA6" si="12">(P3*1.95)+P3</f>
        <v>82.6</v>
      </c>
      <c r="BB3" s="1">
        <f t="shared" ref="BB3:BB6" si="13">(Q3*2.15)+Q3</f>
        <v>81.584999999999994</v>
      </c>
      <c r="BC3" s="1">
        <f t="shared" ref="BC3:BC6" si="14">(R3*2.35)+R3</f>
        <v>95.81</v>
      </c>
      <c r="BD3" s="1">
        <f t="shared" ref="BD3:BD6" si="15">(S3*2.55)+S3</f>
        <v>93.009999999999991</v>
      </c>
      <c r="BE3" s="1">
        <f t="shared" ref="BE3:BE6" si="16">(T3*2.75)+T3</f>
        <v>97.5</v>
      </c>
      <c r="BF3" s="1">
        <f t="shared" ref="BF3:BF6" si="17">(U3*2.95)+U3</f>
        <v>106.65</v>
      </c>
      <c r="BG3" s="1">
        <f t="shared" ref="BG3:BG6" si="18">(V3*3.15)+V3</f>
        <v>109.56</v>
      </c>
      <c r="BH3" s="1">
        <f t="shared" ref="BH3:BH6" si="19">(W3*3.35)+W3</f>
        <v>115.71000000000001</v>
      </c>
      <c r="BI3" s="1">
        <f t="shared" ref="BI3:BI6" si="20">(X3*3.55)+X3</f>
        <v>105.56</v>
      </c>
      <c r="BJ3" s="1">
        <f t="shared" ref="BJ3:BJ5" si="21">(Y3*3.75)+Y3</f>
        <v>108.77500000000001</v>
      </c>
      <c r="BK3" s="1">
        <f t="shared" ref="BK3:BK5" si="22">(Z3*3.95)+Z3</f>
        <v>123.255</v>
      </c>
      <c r="BL3" s="1">
        <f t="shared" ref="BL3:BL5" si="23">(AA3*4.15)+AA3</f>
        <v>125.66</v>
      </c>
      <c r="BM3" s="1">
        <f t="shared" ref="BM3:BM5" si="24">(AB3*4.35)+AB3</f>
        <v>121.97999999999999</v>
      </c>
      <c r="BN3" s="1">
        <f t="shared" ref="BN3:BN5" si="25">(AC3*4.55)+AC3</f>
        <v>102.11999999999998</v>
      </c>
      <c r="BO3" s="1">
        <f t="shared" ref="BO3:BO5" si="26">(AD3*4.75)+AD3</f>
        <v>106.375</v>
      </c>
      <c r="BP3" s="1">
        <f t="shared" ref="BP3:BP5" si="27">(AE3*4.95)+AE3</f>
        <v>129.71</v>
      </c>
      <c r="BQ3" s="1">
        <f t="shared" ref="BQ3:BQ5" si="28">(AF3*5.15)+AF3</f>
        <v>138.375</v>
      </c>
      <c r="BR3" s="1">
        <f t="shared" ref="BR3:BR5" si="29">(AG3*5.35)+AG3</f>
        <v>147.95500000000001</v>
      </c>
      <c r="BS3" s="1">
        <f t="shared" ref="BS3:BS5" si="30">(AH3*5.55)+AH3</f>
        <v>127.72499999999999</v>
      </c>
      <c r="BT3" s="1">
        <f>(AI3*5.75)+AI3</f>
        <v>126.22499999999999</v>
      </c>
      <c r="BU3" s="1">
        <f>(AJ3*5.95)+AJ3</f>
        <v>130.66000000000003</v>
      </c>
      <c r="BV3" s="1">
        <f>(AK3*6.15)+AK3</f>
        <v>120.12</v>
      </c>
      <c r="BW3" s="1">
        <f>(AL3*6.35)+AL3</f>
        <v>134.505</v>
      </c>
    </row>
    <row r="4" spans="1:76" ht="16" x14ac:dyDescent="0.2">
      <c r="A4" s="1" t="s">
        <v>314</v>
      </c>
      <c r="B4" s="16" t="s">
        <v>746</v>
      </c>
      <c r="C4" s="1">
        <v>23</v>
      </c>
      <c r="D4" s="1">
        <v>20.8</v>
      </c>
      <c r="E4" s="1">
        <v>23.1</v>
      </c>
      <c r="F4" s="1">
        <v>22.5</v>
      </c>
      <c r="G4" s="1">
        <v>20.5</v>
      </c>
      <c r="H4" s="1">
        <v>19.100000000000001</v>
      </c>
      <c r="I4" s="1">
        <v>21.1</v>
      </c>
      <c r="J4" s="1">
        <v>16.399999999999999</v>
      </c>
      <c r="K4" s="1">
        <v>21</v>
      </c>
      <c r="L4" s="1">
        <v>20.9</v>
      </c>
      <c r="M4" s="1">
        <v>20.9</v>
      </c>
      <c r="N4" s="1">
        <v>21.4</v>
      </c>
      <c r="O4" s="1">
        <v>21.4</v>
      </c>
      <c r="P4" s="1">
        <v>20.3</v>
      </c>
      <c r="Q4" s="1">
        <v>17</v>
      </c>
      <c r="R4" s="1">
        <v>20.8</v>
      </c>
      <c r="S4" s="1">
        <v>21.2</v>
      </c>
      <c r="T4" s="1">
        <v>22.5</v>
      </c>
      <c r="U4" s="1">
        <v>23.2</v>
      </c>
      <c r="V4" s="1">
        <v>23.3</v>
      </c>
      <c r="W4" s="1">
        <v>23.4</v>
      </c>
      <c r="X4" s="1">
        <v>22.1</v>
      </c>
      <c r="Y4" s="1">
        <v>20.399999999999999</v>
      </c>
      <c r="Z4" s="1">
        <v>21.1</v>
      </c>
      <c r="AA4" s="1">
        <v>21.3</v>
      </c>
      <c r="AB4" s="1">
        <v>20.2</v>
      </c>
      <c r="AC4" s="1">
        <v>19.600000000000001</v>
      </c>
      <c r="AD4" s="1">
        <v>18</v>
      </c>
      <c r="AE4" s="1">
        <v>16.8</v>
      </c>
      <c r="AF4" s="1">
        <v>15.8</v>
      </c>
      <c r="AG4" s="1">
        <v>14.4</v>
      </c>
      <c r="AH4" s="1">
        <v>14.5</v>
      </c>
      <c r="AI4" s="1">
        <v>12.3</v>
      </c>
      <c r="AJ4" s="1">
        <v>11.6</v>
      </c>
      <c r="AK4" s="1">
        <v>11.4</v>
      </c>
      <c r="AL4" s="1"/>
      <c r="AM4" s="1"/>
      <c r="AN4" s="1">
        <v>23</v>
      </c>
      <c r="AO4" s="1">
        <f t="shared" si="0"/>
        <v>23.92</v>
      </c>
      <c r="AP4" s="1">
        <f t="shared" si="1"/>
        <v>30.03</v>
      </c>
      <c r="AQ4" s="1">
        <f t="shared" si="2"/>
        <v>32.625</v>
      </c>
      <c r="AR4" s="1">
        <f t="shared" si="3"/>
        <v>32.799999999999997</v>
      </c>
      <c r="AS4" s="1">
        <f t="shared" si="4"/>
        <v>33.425000000000004</v>
      </c>
      <c r="AT4" s="1">
        <f t="shared" si="5"/>
        <v>40.090000000000003</v>
      </c>
      <c r="AU4" s="1">
        <f t="shared" si="6"/>
        <v>33.619999999999997</v>
      </c>
      <c r="AV4" s="1">
        <f t="shared" si="7"/>
        <v>45.15</v>
      </c>
      <c r="AW4" s="1">
        <f t="shared" si="8"/>
        <v>48.069999999999993</v>
      </c>
      <c r="AX4" s="1">
        <f t="shared" si="9"/>
        <v>51.204999999999998</v>
      </c>
      <c r="AY4" s="1">
        <f t="shared" si="10"/>
        <v>55.64</v>
      </c>
      <c r="AZ4" s="1">
        <f t="shared" si="11"/>
        <v>58.849999999999994</v>
      </c>
      <c r="BA4" s="1">
        <f t="shared" si="12"/>
        <v>59.885000000000005</v>
      </c>
      <c r="BB4" s="1">
        <f t="shared" si="13"/>
        <v>53.55</v>
      </c>
      <c r="BC4" s="1">
        <f t="shared" si="14"/>
        <v>69.680000000000007</v>
      </c>
      <c r="BD4" s="1">
        <f t="shared" si="15"/>
        <v>75.259999999999991</v>
      </c>
      <c r="BE4" s="1">
        <f t="shared" si="16"/>
        <v>84.375</v>
      </c>
      <c r="BF4" s="1">
        <f t="shared" si="17"/>
        <v>91.64</v>
      </c>
      <c r="BG4" s="1">
        <f t="shared" si="18"/>
        <v>96.694999999999993</v>
      </c>
      <c r="BH4" s="1">
        <f t="shared" si="19"/>
        <v>101.78999999999999</v>
      </c>
      <c r="BI4" s="1">
        <f t="shared" si="20"/>
        <v>100.55500000000001</v>
      </c>
      <c r="BJ4" s="1">
        <f t="shared" si="21"/>
        <v>96.9</v>
      </c>
      <c r="BK4" s="1">
        <f t="shared" si="22"/>
        <v>104.44500000000002</v>
      </c>
      <c r="BL4" s="1">
        <f t="shared" si="23"/>
        <v>109.69500000000001</v>
      </c>
      <c r="BM4" s="1">
        <f t="shared" si="24"/>
        <v>108.07</v>
      </c>
      <c r="BN4" s="1">
        <f t="shared" si="25"/>
        <v>108.78</v>
      </c>
      <c r="BO4" s="1">
        <f t="shared" si="26"/>
        <v>103.5</v>
      </c>
      <c r="BP4" s="1">
        <f t="shared" si="27"/>
        <v>99.960000000000008</v>
      </c>
      <c r="BQ4" s="1">
        <f t="shared" si="28"/>
        <v>97.17</v>
      </c>
      <c r="BR4" s="1">
        <f t="shared" si="29"/>
        <v>91.44</v>
      </c>
      <c r="BS4" s="1">
        <f t="shared" si="30"/>
        <v>94.974999999999994</v>
      </c>
      <c r="BT4" s="1">
        <f>(AI4*5.75)+AI4</f>
        <v>83.025000000000006</v>
      </c>
      <c r="BU4" s="3">
        <f>(AJ4*5.95)+AJ4</f>
        <v>80.61999999999999</v>
      </c>
      <c r="BV4" s="1">
        <f>(AK4*6.15)+AK4</f>
        <v>81.510000000000005</v>
      </c>
      <c r="BW4" s="1"/>
    </row>
    <row r="5" spans="1:76" ht="16" x14ac:dyDescent="0.2">
      <c r="A5" s="1" t="s">
        <v>316</v>
      </c>
      <c r="B5" s="16" t="s">
        <v>747</v>
      </c>
      <c r="C5" s="1">
        <v>14.5</v>
      </c>
      <c r="D5" s="1">
        <v>14.1</v>
      </c>
      <c r="E5" s="1">
        <v>8.6</v>
      </c>
      <c r="F5" s="1">
        <v>6.7</v>
      </c>
      <c r="G5" s="1">
        <v>5.9</v>
      </c>
      <c r="H5" s="1">
        <v>6.8</v>
      </c>
      <c r="I5" s="1">
        <v>7.4</v>
      </c>
      <c r="J5" s="1">
        <v>4.9000000000000004</v>
      </c>
      <c r="K5" s="1">
        <v>3.8</v>
      </c>
      <c r="L5" s="1">
        <v>4</v>
      </c>
      <c r="M5" s="1">
        <v>3</v>
      </c>
      <c r="N5" s="1">
        <v>3</v>
      </c>
      <c r="O5" s="1">
        <v>2.8</v>
      </c>
      <c r="P5" s="1">
        <v>3.3</v>
      </c>
      <c r="Q5" s="1">
        <v>1.7</v>
      </c>
      <c r="R5" s="1">
        <v>3.2</v>
      </c>
      <c r="S5" s="1">
        <v>3.2</v>
      </c>
      <c r="T5" s="1">
        <v>2.6</v>
      </c>
      <c r="U5" s="1">
        <v>2.2000000000000002</v>
      </c>
      <c r="V5" s="1">
        <v>2.2999999999999998</v>
      </c>
      <c r="W5" s="1">
        <v>2.2000000000000002</v>
      </c>
      <c r="X5" s="1">
        <v>2.2999999999999998</v>
      </c>
      <c r="Y5" s="1">
        <v>2.2000000000000002</v>
      </c>
      <c r="Z5" s="1">
        <v>2.4</v>
      </c>
      <c r="AA5" s="1">
        <v>2.8</v>
      </c>
      <c r="AB5" s="1">
        <v>2.8</v>
      </c>
      <c r="AC5" s="1">
        <v>2.7</v>
      </c>
      <c r="AD5" s="1">
        <v>3</v>
      </c>
      <c r="AE5" s="1">
        <v>2.7</v>
      </c>
      <c r="AF5" s="1">
        <v>2.2000000000000002</v>
      </c>
      <c r="AG5" s="1">
        <v>2.2000000000000002</v>
      </c>
      <c r="AH5" s="1">
        <v>1.9</v>
      </c>
      <c r="AL5" s="1"/>
      <c r="AM5" s="1"/>
      <c r="AN5" s="1">
        <v>14.5</v>
      </c>
      <c r="AO5" s="1">
        <f t="shared" si="0"/>
        <v>16.215</v>
      </c>
      <c r="AP5" s="1">
        <f t="shared" si="1"/>
        <v>11.18</v>
      </c>
      <c r="AQ5" s="1">
        <f t="shared" si="2"/>
        <v>9.7149999999999999</v>
      </c>
      <c r="AR5" s="1">
        <f t="shared" si="3"/>
        <v>9.4400000000000013</v>
      </c>
      <c r="AS5" s="1">
        <f t="shared" si="4"/>
        <v>11.899999999999999</v>
      </c>
      <c r="AT5" s="1">
        <f t="shared" si="5"/>
        <v>14.06</v>
      </c>
      <c r="AU5" s="1">
        <f t="shared" si="6"/>
        <v>10.045000000000002</v>
      </c>
      <c r="AV5" s="1">
        <f t="shared" si="7"/>
        <v>8.1699999999999982</v>
      </c>
      <c r="AW5" s="1">
        <f t="shared" si="8"/>
        <v>9.1999999999999993</v>
      </c>
      <c r="AX5" s="1">
        <f t="shared" si="9"/>
        <v>7.35</v>
      </c>
      <c r="AY5" s="1">
        <f t="shared" si="10"/>
        <v>7.8000000000000007</v>
      </c>
      <c r="AZ5" s="1">
        <f t="shared" si="11"/>
        <v>7.6999999999999993</v>
      </c>
      <c r="BA5" s="1">
        <f t="shared" si="12"/>
        <v>9.7349999999999994</v>
      </c>
      <c r="BB5" s="1">
        <f t="shared" si="13"/>
        <v>5.3549999999999995</v>
      </c>
      <c r="BC5" s="1">
        <f t="shared" si="14"/>
        <v>10.72</v>
      </c>
      <c r="BD5" s="1">
        <f t="shared" si="15"/>
        <v>11.36</v>
      </c>
      <c r="BE5" s="1">
        <f t="shared" si="16"/>
        <v>9.75</v>
      </c>
      <c r="BF5" s="1">
        <f t="shared" si="17"/>
        <v>8.6900000000000013</v>
      </c>
      <c r="BG5" s="1">
        <f t="shared" si="18"/>
        <v>9.5449999999999982</v>
      </c>
      <c r="BH5" s="1">
        <f t="shared" si="19"/>
        <v>9.57</v>
      </c>
      <c r="BI5" s="1">
        <f t="shared" si="20"/>
        <v>10.465</v>
      </c>
      <c r="BJ5" s="1">
        <f t="shared" si="21"/>
        <v>10.45</v>
      </c>
      <c r="BK5" s="1">
        <f t="shared" si="22"/>
        <v>11.88</v>
      </c>
      <c r="BL5" s="1">
        <f t="shared" si="23"/>
        <v>14.420000000000002</v>
      </c>
      <c r="BM5" s="1">
        <f t="shared" si="24"/>
        <v>14.979999999999997</v>
      </c>
      <c r="BN5" s="1">
        <f t="shared" si="25"/>
        <v>14.984999999999999</v>
      </c>
      <c r="BO5" s="1">
        <f t="shared" si="26"/>
        <v>17.25</v>
      </c>
      <c r="BP5" s="1">
        <f t="shared" si="27"/>
        <v>16.065000000000001</v>
      </c>
      <c r="BQ5" s="1">
        <f t="shared" si="28"/>
        <v>13.530000000000001</v>
      </c>
      <c r="BR5" s="1">
        <f t="shared" si="29"/>
        <v>13.969999999999999</v>
      </c>
      <c r="BS5" s="1">
        <f t="shared" si="30"/>
        <v>12.445</v>
      </c>
      <c r="BT5" s="1"/>
      <c r="BU5" s="1"/>
    </row>
    <row r="6" spans="1:76" ht="16" x14ac:dyDescent="0.2">
      <c r="A6" s="21" t="s">
        <v>616</v>
      </c>
      <c r="B6" s="16" t="s">
        <v>748</v>
      </c>
      <c r="C6" s="1">
        <v>5.4</v>
      </c>
      <c r="D6" s="1">
        <v>4.9000000000000004</v>
      </c>
      <c r="E6" s="1">
        <v>3.7</v>
      </c>
      <c r="F6" s="1">
        <v>4.4000000000000004</v>
      </c>
      <c r="G6" s="1">
        <v>3.6</v>
      </c>
      <c r="H6" s="1">
        <v>3.1</v>
      </c>
      <c r="I6" s="1">
        <v>2.7</v>
      </c>
      <c r="J6" s="1">
        <v>3.3</v>
      </c>
      <c r="K6" s="1">
        <v>2</v>
      </c>
      <c r="L6" s="1">
        <v>2.1</v>
      </c>
      <c r="M6" s="1">
        <v>2.2000000000000002</v>
      </c>
      <c r="N6" s="1">
        <v>1.7</v>
      </c>
      <c r="O6" s="1">
        <v>1.2</v>
      </c>
      <c r="P6" s="1">
        <v>1.2</v>
      </c>
      <c r="Q6" s="1">
        <v>2.7</v>
      </c>
      <c r="R6" s="1">
        <v>3.4</v>
      </c>
      <c r="S6" s="1">
        <v>2.9</v>
      </c>
      <c r="T6" s="1">
        <v>2.2000000000000002</v>
      </c>
      <c r="U6" s="1">
        <v>2.2000000000000002</v>
      </c>
      <c r="V6" s="1">
        <v>2.2000000000000002</v>
      </c>
      <c r="W6" s="1">
        <v>1.8</v>
      </c>
      <c r="X6" s="1">
        <v>1.4</v>
      </c>
      <c r="AA6" s="1"/>
      <c r="AB6" s="1"/>
      <c r="AC6" s="1"/>
      <c r="AD6" s="1"/>
      <c r="AE6" s="1"/>
      <c r="AF6" s="1"/>
      <c r="AG6" s="1"/>
      <c r="AH6" s="1"/>
      <c r="AL6" s="21"/>
      <c r="AM6" s="21"/>
      <c r="AN6" s="1">
        <v>5.4</v>
      </c>
      <c r="AO6" s="1">
        <f t="shared" si="0"/>
        <v>5.6350000000000007</v>
      </c>
      <c r="AP6" s="1">
        <f t="shared" si="1"/>
        <v>4.8100000000000005</v>
      </c>
      <c r="AQ6" s="1">
        <f t="shared" si="2"/>
        <v>6.3800000000000008</v>
      </c>
      <c r="AR6" s="1">
        <f t="shared" si="3"/>
        <v>5.76</v>
      </c>
      <c r="AS6" s="1">
        <f t="shared" si="4"/>
        <v>5.4250000000000007</v>
      </c>
      <c r="AT6" s="1">
        <f t="shared" si="5"/>
        <v>5.1300000000000008</v>
      </c>
      <c r="AU6" s="1">
        <f t="shared" si="6"/>
        <v>6.7649999999999997</v>
      </c>
      <c r="AV6" s="1">
        <f t="shared" si="7"/>
        <v>4.3</v>
      </c>
      <c r="AW6" s="1">
        <f t="shared" si="8"/>
        <v>4.83</v>
      </c>
      <c r="AX6" s="1">
        <f t="shared" si="9"/>
        <v>5.3900000000000006</v>
      </c>
      <c r="AY6" s="1">
        <f t="shared" si="10"/>
        <v>4.42</v>
      </c>
      <c r="AZ6" s="1">
        <f t="shared" si="11"/>
        <v>3.3</v>
      </c>
      <c r="BA6" s="1">
        <f t="shared" si="12"/>
        <v>3.54</v>
      </c>
      <c r="BB6" s="1">
        <f t="shared" si="13"/>
        <v>8.504999999999999</v>
      </c>
      <c r="BC6" s="1">
        <f t="shared" si="14"/>
        <v>11.39</v>
      </c>
      <c r="BD6" s="1">
        <f t="shared" si="15"/>
        <v>10.295</v>
      </c>
      <c r="BE6" s="1">
        <f t="shared" si="16"/>
        <v>8.25</v>
      </c>
      <c r="BF6" s="1">
        <f t="shared" si="17"/>
        <v>8.6900000000000013</v>
      </c>
      <c r="BG6" s="1">
        <f t="shared" si="18"/>
        <v>9.1300000000000008</v>
      </c>
      <c r="BH6" s="1">
        <f t="shared" si="19"/>
        <v>7.83</v>
      </c>
      <c r="BI6" s="1">
        <f t="shared" si="20"/>
        <v>6.3699999999999992</v>
      </c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6" ht="16" x14ac:dyDescent="0.2">
      <c r="A7" s="1" t="s">
        <v>315</v>
      </c>
      <c r="B7" s="16" t="s">
        <v>749</v>
      </c>
      <c r="C7" s="1"/>
      <c r="D7" s="1"/>
      <c r="E7" s="1"/>
      <c r="F7" s="1"/>
      <c r="G7" s="1"/>
      <c r="H7" s="1"/>
      <c r="I7" s="1"/>
      <c r="J7" s="14">
        <v>2.1</v>
      </c>
      <c r="K7" s="1">
        <v>15.3</v>
      </c>
      <c r="L7" s="1">
        <v>16.100000000000001</v>
      </c>
      <c r="M7" s="1">
        <v>15.3</v>
      </c>
      <c r="N7" s="1">
        <v>15.8</v>
      </c>
      <c r="O7" s="1">
        <v>15.3</v>
      </c>
      <c r="P7" s="1">
        <v>11</v>
      </c>
      <c r="Q7" s="1">
        <v>14.7</v>
      </c>
      <c r="R7" s="1">
        <v>11.6</v>
      </c>
      <c r="S7" s="1">
        <v>12.1</v>
      </c>
      <c r="T7" s="1">
        <v>12.6</v>
      </c>
      <c r="U7" s="1">
        <v>12.1</v>
      </c>
      <c r="V7" s="1">
        <v>11.6</v>
      </c>
      <c r="W7" s="1">
        <v>11.4</v>
      </c>
      <c r="X7" s="1">
        <v>11</v>
      </c>
      <c r="AA7" s="1"/>
      <c r="AB7" s="1"/>
      <c r="AC7" s="1"/>
      <c r="AD7" s="1"/>
      <c r="AE7" s="1"/>
      <c r="AF7" s="1"/>
      <c r="AG7" s="1"/>
      <c r="AH7" s="1"/>
      <c r="AL7" s="1"/>
      <c r="AM7" s="1"/>
      <c r="AN7" s="1"/>
      <c r="AO7" s="1"/>
      <c r="AP7" s="1"/>
      <c r="AQ7" s="1"/>
      <c r="AR7" s="1"/>
      <c r="AS7" s="1"/>
      <c r="AT7" s="1"/>
      <c r="AU7" s="1">
        <v>2.1</v>
      </c>
      <c r="AV7" s="1">
        <f>(K7*0.1)+K7</f>
        <v>16.830000000000002</v>
      </c>
      <c r="AW7" s="1">
        <f>(L7*0.25)+L7</f>
        <v>20.125</v>
      </c>
      <c r="AX7" s="1">
        <f>(M7*0.4)+M7</f>
        <v>21.42</v>
      </c>
      <c r="AY7" s="1">
        <f>(N7*0.55)+N7</f>
        <v>24.490000000000002</v>
      </c>
      <c r="AZ7" s="1">
        <f>(O7*0.7)+O7</f>
        <v>26.009999999999998</v>
      </c>
      <c r="BA7" s="1">
        <f>(P7*0.9)+P7</f>
        <v>20.9</v>
      </c>
      <c r="BB7" s="1">
        <f>(Q7*1.1)+Q7</f>
        <v>30.87</v>
      </c>
      <c r="BC7" s="1">
        <f>(R7*1.3)+R7</f>
        <v>26.68</v>
      </c>
      <c r="BD7" s="1">
        <f>(S7*1.5)+S7</f>
        <v>30.25</v>
      </c>
      <c r="BE7" s="1">
        <f>(T7*1.7)+T7</f>
        <v>34.019999999999996</v>
      </c>
      <c r="BF7" s="1">
        <f>(U7*1.9)+U7</f>
        <v>35.089999999999996</v>
      </c>
      <c r="BG7" s="1">
        <f>(V7*2.1)+V7</f>
        <v>35.96</v>
      </c>
      <c r="BH7" s="1">
        <f>(W7*2.3)+W7</f>
        <v>37.619999999999997</v>
      </c>
      <c r="BI7" s="1">
        <f>(X7*2.5)+X7</f>
        <v>38.5</v>
      </c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6" ht="16" x14ac:dyDescent="0.2">
      <c r="A8" s="1" t="s">
        <v>372</v>
      </c>
      <c r="B8" s="16" t="s">
        <v>750</v>
      </c>
      <c r="K8" s="1"/>
      <c r="L8" s="1"/>
      <c r="M8" s="1"/>
      <c r="N8" s="1"/>
      <c r="O8" s="1"/>
      <c r="P8" s="1">
        <v>4.0999999999999996</v>
      </c>
      <c r="Q8" s="1">
        <v>7.1</v>
      </c>
      <c r="R8" s="1">
        <v>5.5</v>
      </c>
      <c r="S8" s="1">
        <v>4.4000000000000004</v>
      </c>
      <c r="T8" s="1">
        <v>5.0999999999999996</v>
      </c>
      <c r="U8" s="1">
        <v>5.5</v>
      </c>
      <c r="V8" s="1">
        <v>5.5</v>
      </c>
      <c r="W8" s="1">
        <v>5</v>
      </c>
      <c r="X8" s="1">
        <v>9.1</v>
      </c>
      <c r="Y8" s="1">
        <v>7.6</v>
      </c>
      <c r="Z8" s="1">
        <v>6.1</v>
      </c>
      <c r="AA8" s="1">
        <v>4.0999999999999996</v>
      </c>
      <c r="AB8" s="1">
        <v>4</v>
      </c>
      <c r="AC8" s="1">
        <v>4.2</v>
      </c>
      <c r="AD8" s="1">
        <v>2.8</v>
      </c>
      <c r="AE8" s="1">
        <v>1.8</v>
      </c>
      <c r="AF8" s="1">
        <v>0.7</v>
      </c>
      <c r="AG8" s="1"/>
      <c r="AH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>
        <v>4.0999999999999996</v>
      </c>
      <c r="BB8" s="1">
        <f>(Q8*0.2)+Q8</f>
        <v>8.52</v>
      </c>
      <c r="BC8" s="1">
        <f>(R8*0.4)+R8</f>
        <v>7.7</v>
      </c>
      <c r="BD8" s="1">
        <f>(S8*0.6)+S8</f>
        <v>7.0400000000000009</v>
      </c>
      <c r="BE8" s="1">
        <f>(T8*0.8)+T8</f>
        <v>9.18</v>
      </c>
      <c r="BF8" s="1">
        <f>(U8*1)+U8</f>
        <v>11</v>
      </c>
      <c r="BG8" s="1">
        <f>(V8*1.2)+V8</f>
        <v>12.1</v>
      </c>
      <c r="BH8" s="1">
        <f>(W8*1.4)+W8</f>
        <v>12</v>
      </c>
      <c r="BI8" s="1">
        <f>(X8*1.6)+X8</f>
        <v>23.66</v>
      </c>
      <c r="BJ8" s="1">
        <f>(Y8*1.8)+Y8</f>
        <v>21.28</v>
      </c>
      <c r="BK8" s="1">
        <f>(Z8*2)+Z8</f>
        <v>18.299999999999997</v>
      </c>
      <c r="BL8" s="1">
        <f>(AA8*2.2)+AA8</f>
        <v>13.12</v>
      </c>
      <c r="BM8" s="1">
        <f>(AB8*2.4)+AB8</f>
        <v>13.6</v>
      </c>
      <c r="BN8" s="1">
        <f>(AC8*2.6)+AC8</f>
        <v>15.120000000000001</v>
      </c>
      <c r="BO8" s="1">
        <f>(AD8*2.8)+AD8</f>
        <v>10.639999999999999</v>
      </c>
      <c r="BP8" s="1">
        <f>(AE8*3)+AE8</f>
        <v>7.2</v>
      </c>
      <c r="BQ8" s="1">
        <f>(AF8*3.2)+AF8</f>
        <v>2.9399999999999995</v>
      </c>
      <c r="BR8" s="1"/>
      <c r="BS8" s="1"/>
      <c r="BT8" s="1"/>
      <c r="BU8" s="1"/>
    </row>
    <row r="9" spans="1:76" ht="16" x14ac:dyDescent="0.2">
      <c r="A9" s="1" t="s">
        <v>373</v>
      </c>
      <c r="B9" s="16" t="s">
        <v>751</v>
      </c>
      <c r="K9" s="1"/>
      <c r="L9" s="1"/>
      <c r="M9" s="1"/>
      <c r="N9" s="1"/>
      <c r="O9" s="1"/>
      <c r="P9" s="1">
        <v>3.1</v>
      </c>
      <c r="Q9" s="1">
        <v>4.5</v>
      </c>
      <c r="R9" s="1">
        <v>2.1</v>
      </c>
      <c r="AA9" s="1"/>
      <c r="AB9" s="1"/>
      <c r="AC9" s="1"/>
      <c r="AD9" s="1"/>
      <c r="AE9" s="1"/>
      <c r="AF9" s="1"/>
      <c r="AG9" s="1"/>
      <c r="AH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>
        <v>3.1</v>
      </c>
      <c r="BB9" s="1">
        <f t="shared" ref="BB9" si="31">(Q9*0.2)+Q9</f>
        <v>5.4</v>
      </c>
      <c r="BC9" s="1">
        <f t="shared" ref="BC9" si="32">(R9*0.4)+R9</f>
        <v>2.9400000000000004</v>
      </c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6" ht="16" x14ac:dyDescent="0.2">
      <c r="A10" s="1" t="s">
        <v>615</v>
      </c>
      <c r="B10" s="16" t="s">
        <v>752</v>
      </c>
      <c r="K10" s="1"/>
      <c r="L10" s="1"/>
      <c r="M10" s="1"/>
      <c r="N10" s="1"/>
      <c r="O10" s="1"/>
      <c r="P10" s="1"/>
      <c r="Q10" s="1"/>
      <c r="R10" s="1"/>
      <c r="S10" s="1">
        <v>5.0999999999999996</v>
      </c>
      <c r="T10" s="1">
        <v>2.7</v>
      </c>
      <c r="U10" s="1">
        <v>2.6</v>
      </c>
      <c r="V10" s="1">
        <v>2.7</v>
      </c>
      <c r="W10" s="1">
        <v>2.2000000000000002</v>
      </c>
      <c r="X10" s="1">
        <v>2.9</v>
      </c>
      <c r="Y10" s="1">
        <v>2.6</v>
      </c>
      <c r="Z10" s="1">
        <v>2.4</v>
      </c>
      <c r="AA10" s="1">
        <v>2.1</v>
      </c>
      <c r="AB10" s="1">
        <v>0.9</v>
      </c>
      <c r="AC10" s="1">
        <v>0.8</v>
      </c>
      <c r="AD10" s="1">
        <v>0.8</v>
      </c>
      <c r="AE10" s="1">
        <v>1.2</v>
      </c>
      <c r="AF10" s="1">
        <v>1</v>
      </c>
      <c r="AG10" s="1">
        <v>0.7</v>
      </c>
      <c r="AH10" s="1">
        <v>0.7</v>
      </c>
      <c r="AI10" s="1">
        <v>0.5</v>
      </c>
      <c r="AJ10" s="1">
        <v>0.4</v>
      </c>
      <c r="AK10" s="1">
        <v>1</v>
      </c>
      <c r="AL10" s="1">
        <v>0.7</v>
      </c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>
        <v>5.0999999999999996</v>
      </c>
      <c r="BE10" s="1">
        <f t="shared" ref="BE10" si="33">(T10*0.2)+T10</f>
        <v>3.24</v>
      </c>
      <c r="BF10" s="1">
        <f>(U10*0.4)+U10</f>
        <v>3.64</v>
      </c>
      <c r="BG10" s="1">
        <f>(V10*0.6)+V10</f>
        <v>4.32</v>
      </c>
      <c r="BH10" s="1">
        <f>(W10*0.8)+W10</f>
        <v>3.9600000000000004</v>
      </c>
      <c r="BI10" s="1">
        <f>(X10*1)+X10</f>
        <v>5.8</v>
      </c>
      <c r="BJ10" s="1">
        <f>(Y10*1.2)+Y10</f>
        <v>5.7200000000000006</v>
      </c>
      <c r="BK10" s="1">
        <f>(Z10*1.4)+Z10</f>
        <v>5.76</v>
      </c>
      <c r="BL10" s="1">
        <f>(AA10*1.6)+AA10</f>
        <v>5.4600000000000009</v>
      </c>
      <c r="BM10" s="1">
        <f>(AB10*1.8)+AB10</f>
        <v>2.52</v>
      </c>
      <c r="BN10" s="1">
        <f>(AC10*2)+AC10</f>
        <v>2.4000000000000004</v>
      </c>
      <c r="BO10" s="1">
        <f>(AD10*2.4)+AD10</f>
        <v>2.7199999999999998</v>
      </c>
      <c r="BP10" s="1">
        <f>(AE10*2.6)+AE10</f>
        <v>4.32</v>
      </c>
      <c r="BQ10" s="1">
        <f>(AF10*2.8)+AF10</f>
        <v>3.8</v>
      </c>
      <c r="BR10" s="1">
        <f>(AG10*3)+AG10</f>
        <v>2.8</v>
      </c>
      <c r="BS10" s="1">
        <f>(AH10*3.2)+AH10</f>
        <v>2.9399999999999995</v>
      </c>
      <c r="BT10" s="3">
        <f>(AI10*3.4)+AI10</f>
        <v>2.2000000000000002</v>
      </c>
      <c r="BU10" s="3">
        <f>(AJ10*3.6)+AJ10</f>
        <v>1.8400000000000003</v>
      </c>
      <c r="BV10" s="3">
        <f>(AK10*3.8)+AK10</f>
        <v>4.8</v>
      </c>
      <c r="BW10" s="3">
        <f>(AL10*4)+AL10</f>
        <v>3.5</v>
      </c>
    </row>
    <row r="11" spans="1:76" ht="16" x14ac:dyDescent="0.2">
      <c r="A11" s="1" t="s">
        <v>149</v>
      </c>
      <c r="B11" s="16" t="s">
        <v>753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>
        <v>0.6</v>
      </c>
      <c r="Y11" s="1">
        <v>3.2</v>
      </c>
      <c r="Z11" s="1">
        <v>2.5</v>
      </c>
      <c r="AA11" s="1">
        <v>1.3</v>
      </c>
      <c r="AB11" s="1">
        <v>2.9</v>
      </c>
      <c r="AC11" s="1">
        <v>2.5</v>
      </c>
      <c r="AD11" s="1">
        <v>3.4</v>
      </c>
      <c r="AE11" s="1">
        <v>3.1</v>
      </c>
      <c r="AF11" s="1">
        <v>1.8</v>
      </c>
      <c r="AG11" s="1">
        <v>1</v>
      </c>
      <c r="AH11" s="1">
        <v>0.5</v>
      </c>
      <c r="AI11" s="1">
        <v>0.2</v>
      </c>
      <c r="AJ11" s="1">
        <v>0.1</v>
      </c>
      <c r="AK11" s="1">
        <v>0.1</v>
      </c>
      <c r="AL11" s="1">
        <v>0.1</v>
      </c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>
        <v>0.6</v>
      </c>
      <c r="BJ11" s="1">
        <f>(Y11*0.2)+Y11</f>
        <v>3.8400000000000003</v>
      </c>
      <c r="BK11" s="1">
        <f t="shared" ref="BK11" si="34">(Z11*0.4)+Z11</f>
        <v>3.5</v>
      </c>
      <c r="BL11" s="1">
        <f>(AA11*0.6)+AA11</f>
        <v>2.08</v>
      </c>
      <c r="BM11" s="1">
        <f>(AB11*0.8)+AB11</f>
        <v>5.22</v>
      </c>
      <c r="BN11" s="1">
        <f>(AC11*1)+AC11</f>
        <v>5</v>
      </c>
      <c r="BO11" s="1">
        <f>(AD11*1.2)+AD11</f>
        <v>7.48</v>
      </c>
      <c r="BP11" s="1">
        <f>(AE11*1.4)+AE11</f>
        <v>7.4399999999999995</v>
      </c>
      <c r="BQ11" s="1">
        <f>(AF11*1.6)+AF11</f>
        <v>4.6800000000000006</v>
      </c>
      <c r="BR11" s="1">
        <f>(AG11*1.8)+AG11</f>
        <v>2.8</v>
      </c>
      <c r="BS11" s="1">
        <f>(AH11*2)+AH11</f>
        <v>1.5</v>
      </c>
      <c r="BT11" s="3">
        <f>(AI11*2.2)+AI11</f>
        <v>0.64000000000000012</v>
      </c>
      <c r="BU11" s="3">
        <f>(AJ11*2.4)+AJ11</f>
        <v>0.33999999999999997</v>
      </c>
      <c r="BV11" s="3">
        <f>(AK11*2.6)+AK11</f>
        <v>0.36</v>
      </c>
      <c r="BW11" s="3">
        <f>(AL11*2.8)+AL11</f>
        <v>0.38</v>
      </c>
    </row>
    <row r="12" spans="1:76" ht="16" x14ac:dyDescent="0.2">
      <c r="A12" s="1" t="s">
        <v>303</v>
      </c>
      <c r="B12" s="16" t="s">
        <v>754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>
        <v>11.1</v>
      </c>
      <c r="Z12" s="1">
        <v>9.9</v>
      </c>
      <c r="AA12" s="1">
        <v>11.3</v>
      </c>
      <c r="AB12" s="1">
        <v>11.1</v>
      </c>
      <c r="AC12" s="1">
        <v>11</v>
      </c>
      <c r="AD12" s="1">
        <v>11.9</v>
      </c>
      <c r="AE12" s="1">
        <v>14.9</v>
      </c>
      <c r="AF12" s="1">
        <v>22.6</v>
      </c>
      <c r="AG12" s="1">
        <v>26.7</v>
      </c>
      <c r="AH12" s="1">
        <v>28.9</v>
      </c>
      <c r="AI12" s="1">
        <v>26.6</v>
      </c>
      <c r="AJ12" s="1">
        <v>29.4</v>
      </c>
      <c r="AK12" s="1">
        <v>25.6</v>
      </c>
      <c r="AL12" s="1">
        <v>27.9</v>
      </c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>
        <v>11.1</v>
      </c>
      <c r="BK12" s="1">
        <f>(Z12*0.2)+Z12</f>
        <v>11.88</v>
      </c>
      <c r="BL12" s="1">
        <f>(AA12*0.4)+AA12</f>
        <v>15.82</v>
      </c>
      <c r="BM12" s="1">
        <f>(AB12*0.6)+AB12</f>
        <v>17.759999999999998</v>
      </c>
      <c r="BN12" s="1">
        <f>(AC12*0.8)+AC12</f>
        <v>19.8</v>
      </c>
      <c r="BO12" s="1">
        <f>(AD12*1)+AD12</f>
        <v>23.8</v>
      </c>
      <c r="BP12" s="1">
        <f>(AE12*1.2)+AE12</f>
        <v>32.78</v>
      </c>
      <c r="BQ12" s="1">
        <f>(AF12*1.4)+AF12</f>
        <v>54.24</v>
      </c>
      <c r="BR12" s="1">
        <f>(AG12*1.6)+AG12</f>
        <v>69.42</v>
      </c>
      <c r="BS12" s="1">
        <f>(AH12*1.8)+AH12</f>
        <v>80.919999999999987</v>
      </c>
      <c r="BT12" s="1">
        <f>(AI12*2)+AI12</f>
        <v>79.800000000000011</v>
      </c>
      <c r="BU12" s="1">
        <f>(AJ12*2.2)+AJ12</f>
        <v>94.080000000000013</v>
      </c>
      <c r="BV12" s="1">
        <f>(AK12*2.4)+AK12</f>
        <v>87.039999999999992</v>
      </c>
      <c r="BW12" s="1">
        <f>(AL12*2.6)+AL12</f>
        <v>100.44</v>
      </c>
    </row>
    <row r="13" spans="1:76" ht="16" x14ac:dyDescent="0.2">
      <c r="A13" s="1" t="s">
        <v>374</v>
      </c>
      <c r="B13" s="16" t="s">
        <v>755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>
        <v>4.3</v>
      </c>
      <c r="Z13" s="1">
        <v>3</v>
      </c>
      <c r="AA13" s="1">
        <v>0.6</v>
      </c>
      <c r="AB13" s="1">
        <v>0.5</v>
      </c>
      <c r="AC13" s="1">
        <v>0.3</v>
      </c>
      <c r="AD13" s="1"/>
      <c r="AE13" s="1"/>
      <c r="AF13" s="1"/>
      <c r="AG13" s="1"/>
      <c r="AH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>
        <v>4.3</v>
      </c>
      <c r="BK13" s="1">
        <f t="shared" ref="BK13" si="35">(Z13*0.2)+Z13</f>
        <v>3.6</v>
      </c>
      <c r="BL13" s="1">
        <f t="shared" ref="BL13" si="36">(AA13*0.4)+AA13</f>
        <v>0.84</v>
      </c>
      <c r="BM13" s="1">
        <f t="shared" ref="BM13" si="37">(AB13*0.6)+AB13</f>
        <v>0.8</v>
      </c>
      <c r="BN13" s="1">
        <f t="shared" ref="BN13" si="38">(AC13*0.8)+AC13</f>
        <v>0.54</v>
      </c>
      <c r="BO13" s="1"/>
      <c r="BP13" s="1"/>
      <c r="BQ13" s="1"/>
      <c r="BR13" s="1"/>
      <c r="BS13" s="1"/>
      <c r="BT13" s="1"/>
      <c r="BU13" s="1"/>
    </row>
    <row r="14" spans="1:76" ht="16" x14ac:dyDescent="0.2">
      <c r="A14" s="1" t="s">
        <v>375</v>
      </c>
      <c r="B14" s="16" t="s">
        <v>756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1.9</v>
      </c>
      <c r="AC14" s="1">
        <v>4.9000000000000004</v>
      </c>
      <c r="AD14" s="1">
        <v>6.1</v>
      </c>
      <c r="AE14" s="1">
        <v>5</v>
      </c>
      <c r="AF14" s="1">
        <v>5</v>
      </c>
      <c r="AG14" s="1">
        <v>7.4</v>
      </c>
      <c r="AH14" s="1">
        <v>9.6</v>
      </c>
      <c r="AI14" s="1">
        <v>8.4</v>
      </c>
      <c r="AJ14" s="1">
        <v>7.1</v>
      </c>
      <c r="AK14" s="1">
        <v>13.2</v>
      </c>
      <c r="AL14" s="1">
        <v>9.8000000000000007</v>
      </c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>
        <v>1.9</v>
      </c>
      <c r="BN14" s="1">
        <f>(AC14*0.2)+AC14</f>
        <v>5.8800000000000008</v>
      </c>
      <c r="BO14" s="1">
        <f>(AD14*0.4)+AD14</f>
        <v>8.5399999999999991</v>
      </c>
      <c r="BP14" s="1">
        <f>(AE14*0.6)+AE14</f>
        <v>8</v>
      </c>
      <c r="BQ14" s="1">
        <f>(AF14*0.8)+AF14</f>
        <v>9</v>
      </c>
      <c r="BR14" s="1">
        <f>(AG14*1)+AG14</f>
        <v>14.8</v>
      </c>
      <c r="BS14" s="1">
        <f>(AH14*1.2)+AH14</f>
        <v>21.119999999999997</v>
      </c>
      <c r="BT14" s="1">
        <f>(AI14*1.4)+AI14</f>
        <v>20.16</v>
      </c>
      <c r="BU14" s="1">
        <f>(AJ14*1.6)+AJ14</f>
        <v>18.46</v>
      </c>
      <c r="BV14" s="1">
        <f>(AK14*1.8)+AK14</f>
        <v>36.959999999999994</v>
      </c>
      <c r="BW14" s="1">
        <f>(AL14*2)+AL14</f>
        <v>29.400000000000002</v>
      </c>
      <c r="BX14" s="1"/>
    </row>
    <row r="15" spans="1:76" ht="16" x14ac:dyDescent="0.2">
      <c r="A15" s="1" t="s">
        <v>376</v>
      </c>
      <c r="B15" s="16" t="s">
        <v>757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>
        <v>2.6</v>
      </c>
      <c r="AD15" s="1">
        <v>5.0999999999999996</v>
      </c>
      <c r="AE15" s="1">
        <v>4</v>
      </c>
      <c r="AF15" s="1">
        <v>0.9</v>
      </c>
      <c r="AG15" s="1">
        <v>0.2</v>
      </c>
      <c r="AH15" s="3">
        <v>0.1</v>
      </c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>
        <v>2.6</v>
      </c>
      <c r="BO15" s="1">
        <f t="shared" ref="BO15" si="39">(AD15*0.2)+AD15</f>
        <v>6.1199999999999992</v>
      </c>
      <c r="BP15" s="1">
        <f>(AE15*0.4)+AE15</f>
        <v>5.6</v>
      </c>
      <c r="BQ15" s="1">
        <f>(AF15*0.6)+AF15</f>
        <v>1.44</v>
      </c>
      <c r="BR15" s="1">
        <f>(AG15*0.8)+AG15</f>
        <v>0.36000000000000004</v>
      </c>
      <c r="BS15" s="3">
        <f>(AH15*0.8)+AH15</f>
        <v>0.18000000000000002</v>
      </c>
      <c r="BT15" s="1"/>
      <c r="BU15" s="1"/>
    </row>
    <row r="16" spans="1:76" ht="16" x14ac:dyDescent="0.2">
      <c r="A16" s="1" t="s">
        <v>377</v>
      </c>
      <c r="B16" s="16" t="s">
        <v>758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>
        <v>1.4</v>
      </c>
      <c r="AI16" s="1">
        <v>5.4</v>
      </c>
      <c r="AJ16" s="1">
        <v>4.5999999999999996</v>
      </c>
      <c r="AK16" s="1">
        <v>7.8</v>
      </c>
      <c r="AL16" s="1">
        <v>7.6</v>
      </c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>
        <v>1.4</v>
      </c>
      <c r="BT16" s="1">
        <f>(AI16*0.2)+AI16</f>
        <v>6.48</v>
      </c>
      <c r="BU16" s="1">
        <f>(AJ16*0.4)+AJ16</f>
        <v>6.4399999999999995</v>
      </c>
      <c r="BV16" s="1">
        <f>(AK16*0.6)+AK16</f>
        <v>12.48</v>
      </c>
      <c r="BW16" s="1">
        <f>(AL16*0.8)+AL16</f>
        <v>13.68</v>
      </c>
    </row>
    <row r="17" spans="1:75" ht="16" x14ac:dyDescent="0.2">
      <c r="A17" s="1" t="s">
        <v>1512</v>
      </c>
      <c r="B17" s="16" t="s">
        <v>1513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>
        <v>14.1</v>
      </c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>
        <v>14.1</v>
      </c>
    </row>
    <row r="18" spans="1:75" ht="16" x14ac:dyDescent="0.2">
      <c r="A18" s="1" t="s">
        <v>414</v>
      </c>
      <c r="B18" s="16" t="s">
        <v>759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>
        <v>15.1</v>
      </c>
      <c r="AJ18" s="1">
        <v>16.399999999999999</v>
      </c>
      <c r="AK18" s="1">
        <v>15.1</v>
      </c>
      <c r="AL18" s="1">
        <v>14.3</v>
      </c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>
        <v>15.1</v>
      </c>
      <c r="BU18" s="1">
        <f>(AJ18*0.2)+AJ18</f>
        <v>19.68</v>
      </c>
      <c r="BV18" s="1">
        <f>(AK18*0.4)+AK18</f>
        <v>21.14</v>
      </c>
      <c r="BW18" s="1">
        <f>(AL18*0.6)+AL18</f>
        <v>22.880000000000003</v>
      </c>
    </row>
    <row r="19" spans="1:75" ht="16" x14ac:dyDescent="0.2">
      <c r="A19" s="1" t="s">
        <v>378</v>
      </c>
      <c r="B19" s="16" t="s">
        <v>760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>
        <v>5.4</v>
      </c>
      <c r="AJ19" s="1">
        <v>4.0999999999999996</v>
      </c>
      <c r="AK19" s="1">
        <v>2.4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>
        <v>5.4</v>
      </c>
      <c r="BU19" s="1">
        <f>(AJ19*0.2)+AJ19</f>
        <v>4.92</v>
      </c>
      <c r="BV19" s="1">
        <f>(AK19*0.4)+AK19</f>
        <v>3.36</v>
      </c>
      <c r="BW19" s="1"/>
    </row>
    <row r="20" spans="1:75" x14ac:dyDescent="0.2">
      <c r="A20" s="1"/>
      <c r="B20" s="1"/>
      <c r="L20" s="1"/>
      <c r="M20" s="1"/>
      <c r="N20" s="1"/>
      <c r="O20" s="1"/>
      <c r="P20" s="1"/>
      <c r="AM20" s="3" t="s">
        <v>14</v>
      </c>
      <c r="AN20" s="1">
        <f t="shared" ref="AN20:BW20" si="40">SUM(AN2:AN19)</f>
        <v>98.4</v>
      </c>
      <c r="AO20" s="1">
        <f t="shared" si="40"/>
        <v>113.965</v>
      </c>
      <c r="AP20" s="1">
        <f t="shared" si="40"/>
        <v>127.91999999999999</v>
      </c>
      <c r="AQ20" s="1">
        <f t="shared" si="40"/>
        <v>141.375</v>
      </c>
      <c r="AR20" s="1">
        <f t="shared" si="40"/>
        <v>157.59999999999997</v>
      </c>
      <c r="AS20" s="1">
        <f t="shared" si="40"/>
        <v>172.37500000000003</v>
      </c>
      <c r="AT20" s="1">
        <f t="shared" si="40"/>
        <v>185.06</v>
      </c>
      <c r="AU20" s="1">
        <f t="shared" si="40"/>
        <v>199.30999999999997</v>
      </c>
      <c r="AV20" s="1">
        <f t="shared" si="40"/>
        <v>186.89500000000001</v>
      </c>
      <c r="AW20" s="1">
        <f t="shared" si="40"/>
        <v>200.905</v>
      </c>
      <c r="AX20" s="1">
        <f t="shared" si="40"/>
        <v>216.685</v>
      </c>
      <c r="AY20" s="1">
        <f t="shared" si="40"/>
        <v>234.83</v>
      </c>
      <c r="AZ20" s="1">
        <f t="shared" si="40"/>
        <v>221.26</v>
      </c>
      <c r="BA20" s="1">
        <f t="shared" si="40"/>
        <v>253.77499999999998</v>
      </c>
      <c r="BB20" s="1">
        <f t="shared" si="40"/>
        <v>258.98999999999995</v>
      </c>
      <c r="BC20" s="1">
        <f t="shared" si="40"/>
        <v>300.29500000000002</v>
      </c>
      <c r="BD20" s="1">
        <f t="shared" si="40"/>
        <v>313.96500000000003</v>
      </c>
      <c r="BE20" s="1">
        <f t="shared" si="40"/>
        <v>336.315</v>
      </c>
      <c r="BF20" s="1">
        <f t="shared" si="40"/>
        <v>357.43499999999995</v>
      </c>
      <c r="BG20" s="1">
        <f t="shared" si="40"/>
        <v>375.66500000000002</v>
      </c>
      <c r="BH20" s="1">
        <f t="shared" si="40"/>
        <v>392.44499999999999</v>
      </c>
      <c r="BI20" s="1">
        <f t="shared" si="40"/>
        <v>398.43500000000006</v>
      </c>
      <c r="BJ20" s="1">
        <f t="shared" si="40"/>
        <v>365.44000000000005</v>
      </c>
      <c r="BK20" s="1">
        <f t="shared" si="40"/>
        <v>392.51000000000005</v>
      </c>
      <c r="BL20" s="1">
        <f t="shared" si="40"/>
        <v>410.69499999999994</v>
      </c>
      <c r="BM20" s="1">
        <f t="shared" si="40"/>
        <v>411.48500000000001</v>
      </c>
      <c r="BN20" s="1">
        <f t="shared" si="40"/>
        <v>404.32000000000005</v>
      </c>
      <c r="BO20" s="1">
        <f t="shared" si="40"/>
        <v>407.17500000000007</v>
      </c>
      <c r="BP20" s="1">
        <f t="shared" si="40"/>
        <v>431.26499999999999</v>
      </c>
      <c r="BQ20" s="1">
        <f t="shared" si="40"/>
        <v>447.56000000000006</v>
      </c>
      <c r="BR20" s="1">
        <f t="shared" si="40"/>
        <v>453.40000000000009</v>
      </c>
      <c r="BS20" s="1">
        <f t="shared" si="40"/>
        <v>446.69499999999988</v>
      </c>
      <c r="BT20" s="1">
        <f t="shared" si="40"/>
        <v>339.03000000000003</v>
      </c>
      <c r="BU20" s="1">
        <f t="shared" si="40"/>
        <v>357.04000000000008</v>
      </c>
      <c r="BV20" s="1">
        <f t="shared" si="40"/>
        <v>367.77000000000004</v>
      </c>
      <c r="BW20" s="1">
        <f t="shared" si="40"/>
        <v>318.88499999999999</v>
      </c>
    </row>
    <row r="22" spans="1:75" x14ac:dyDescent="0.2">
      <c r="AN22" s="1">
        <v>100</v>
      </c>
      <c r="AO22" s="1">
        <v>115</v>
      </c>
      <c r="AP22" s="1">
        <v>130</v>
      </c>
      <c r="AQ22" s="1">
        <v>145</v>
      </c>
      <c r="AR22" s="1">
        <v>160</v>
      </c>
      <c r="AS22" s="1">
        <v>175</v>
      </c>
      <c r="AT22" s="1">
        <v>190</v>
      </c>
      <c r="AU22" s="1">
        <v>205</v>
      </c>
      <c r="AV22" s="1">
        <v>215</v>
      </c>
      <c r="AW22" s="1">
        <v>230</v>
      </c>
      <c r="AX22" s="1">
        <v>245</v>
      </c>
      <c r="AY22" s="1">
        <v>260</v>
      </c>
      <c r="AZ22" s="1">
        <v>275</v>
      </c>
      <c r="BA22" s="1">
        <v>295</v>
      </c>
      <c r="BB22" s="1">
        <v>315</v>
      </c>
      <c r="BC22" s="1">
        <v>335</v>
      </c>
      <c r="BD22" s="1">
        <v>355</v>
      </c>
      <c r="BE22" s="1">
        <v>375</v>
      </c>
      <c r="BF22" s="1">
        <v>395</v>
      </c>
      <c r="BG22" s="1">
        <v>415</v>
      </c>
      <c r="BH22" s="1">
        <v>435</v>
      </c>
      <c r="BI22" s="1">
        <v>455</v>
      </c>
      <c r="BJ22" s="1">
        <v>475</v>
      </c>
      <c r="BK22" s="1">
        <v>495</v>
      </c>
      <c r="BL22" s="1">
        <v>515</v>
      </c>
      <c r="BM22" s="1">
        <v>535</v>
      </c>
      <c r="BN22" s="1">
        <v>555</v>
      </c>
      <c r="BO22" s="1">
        <v>575</v>
      </c>
      <c r="BP22" s="1">
        <v>595</v>
      </c>
      <c r="BQ22" s="1">
        <v>615</v>
      </c>
      <c r="BR22" s="1">
        <v>635</v>
      </c>
      <c r="BS22" s="1">
        <v>655</v>
      </c>
      <c r="BT22" s="1">
        <v>675</v>
      </c>
      <c r="BU22" s="1">
        <v>695</v>
      </c>
      <c r="BV22" s="1">
        <v>715</v>
      </c>
      <c r="BW22" s="1">
        <v>735</v>
      </c>
    </row>
    <row r="24" spans="1:75" ht="16" x14ac:dyDescent="0.2">
      <c r="A24" s="21"/>
      <c r="B24" s="21"/>
      <c r="C24" s="16"/>
      <c r="D24" s="16"/>
      <c r="AN24" s="1">
        <f>AN20</f>
        <v>98.4</v>
      </c>
      <c r="AO24" s="1">
        <f>SUM(AN24+AO20)</f>
        <v>212.36500000000001</v>
      </c>
      <c r="AP24" s="1">
        <f>SUM(AO24+AP20)</f>
        <v>340.28499999999997</v>
      </c>
      <c r="AQ24" s="1">
        <f t="shared" ref="AQ24:BW24" si="41">SUM(AP24+AQ20)</f>
        <v>481.65999999999997</v>
      </c>
      <c r="AR24" s="1">
        <f t="shared" si="41"/>
        <v>639.26</v>
      </c>
      <c r="AS24" s="1">
        <f t="shared" si="41"/>
        <v>811.63499999999999</v>
      </c>
      <c r="AT24" s="1">
        <f t="shared" si="41"/>
        <v>996.69499999999994</v>
      </c>
      <c r="AU24" s="1">
        <f t="shared" si="41"/>
        <v>1196.0049999999999</v>
      </c>
      <c r="AV24" s="1">
        <f t="shared" si="41"/>
        <v>1382.8999999999999</v>
      </c>
      <c r="AW24" s="1">
        <f t="shared" si="41"/>
        <v>1583.8049999999998</v>
      </c>
      <c r="AX24" s="1">
        <f t="shared" si="41"/>
        <v>1800.4899999999998</v>
      </c>
      <c r="AY24" s="1">
        <f t="shared" si="41"/>
        <v>2035.3199999999997</v>
      </c>
      <c r="AZ24" s="1">
        <f t="shared" si="41"/>
        <v>2256.58</v>
      </c>
      <c r="BA24" s="1">
        <f t="shared" si="41"/>
        <v>2510.355</v>
      </c>
      <c r="BB24" s="1">
        <f t="shared" si="41"/>
        <v>2769.3449999999998</v>
      </c>
      <c r="BC24" s="1">
        <f t="shared" si="41"/>
        <v>3069.64</v>
      </c>
      <c r="BD24" s="1">
        <f t="shared" si="41"/>
        <v>3383.605</v>
      </c>
      <c r="BE24" s="1">
        <f t="shared" si="41"/>
        <v>3719.92</v>
      </c>
      <c r="BF24" s="1">
        <f t="shared" si="41"/>
        <v>4077.355</v>
      </c>
      <c r="BG24" s="1">
        <f t="shared" si="41"/>
        <v>4453.0200000000004</v>
      </c>
      <c r="BH24" s="1">
        <f t="shared" si="41"/>
        <v>4845.4650000000001</v>
      </c>
      <c r="BI24" s="1">
        <f t="shared" si="41"/>
        <v>5243.9000000000005</v>
      </c>
      <c r="BJ24" s="1">
        <f t="shared" si="41"/>
        <v>5609.34</v>
      </c>
      <c r="BK24" s="1">
        <f t="shared" si="41"/>
        <v>6001.85</v>
      </c>
      <c r="BL24" s="1">
        <f t="shared" si="41"/>
        <v>6412.5450000000001</v>
      </c>
      <c r="BM24" s="1">
        <f t="shared" si="41"/>
        <v>6824.03</v>
      </c>
      <c r="BN24" s="1">
        <f t="shared" si="41"/>
        <v>7228.3499999999995</v>
      </c>
      <c r="BO24" s="1">
        <f t="shared" si="41"/>
        <v>7635.5249999999996</v>
      </c>
      <c r="BP24" s="1">
        <f t="shared" si="41"/>
        <v>8066.79</v>
      </c>
      <c r="BQ24" s="1">
        <f t="shared" si="41"/>
        <v>8514.35</v>
      </c>
      <c r="BR24" s="1">
        <f t="shared" si="41"/>
        <v>8967.75</v>
      </c>
      <c r="BS24" s="1">
        <f t="shared" si="41"/>
        <v>9414.4449999999997</v>
      </c>
      <c r="BT24" s="1">
        <f t="shared" si="41"/>
        <v>9753.4750000000004</v>
      </c>
      <c r="BU24" s="1">
        <f t="shared" si="41"/>
        <v>10110.515000000001</v>
      </c>
      <c r="BV24" s="1">
        <f t="shared" si="41"/>
        <v>10478.285000000002</v>
      </c>
      <c r="BW24" s="1">
        <f t="shared" si="41"/>
        <v>10797.170000000002</v>
      </c>
    </row>
    <row r="25" spans="1:75" ht="16" x14ac:dyDescent="0.2">
      <c r="A25" s="21"/>
      <c r="B25" s="21"/>
      <c r="C25" s="16"/>
      <c r="D25" s="16"/>
      <c r="AN25" s="3"/>
      <c r="AO25" s="3"/>
      <c r="AP25" s="3"/>
      <c r="AQ25" s="1"/>
      <c r="AR25" s="1"/>
      <c r="AS25" s="1"/>
      <c r="AT25" s="6"/>
      <c r="AU25" s="6"/>
      <c r="AV25" s="6"/>
      <c r="AW25" s="1"/>
    </row>
    <row r="26" spans="1:75" ht="16" x14ac:dyDescent="0.2">
      <c r="A26" s="21"/>
      <c r="B26" s="21"/>
      <c r="C26" s="16"/>
      <c r="D26" s="16"/>
      <c r="AN26" s="1">
        <v>100</v>
      </c>
      <c r="AO26" s="1">
        <f>SUM(AN26+AO22)</f>
        <v>215</v>
      </c>
      <c r="AP26" s="1">
        <f>SUM(AO26+AP22)</f>
        <v>345</v>
      </c>
      <c r="AQ26" s="1">
        <f t="shared" ref="AQ26:BW26" si="42">SUM(AP26+AQ22)</f>
        <v>490</v>
      </c>
      <c r="AR26" s="1">
        <f t="shared" si="42"/>
        <v>650</v>
      </c>
      <c r="AS26" s="1">
        <f t="shared" si="42"/>
        <v>825</v>
      </c>
      <c r="AT26" s="1">
        <f t="shared" si="42"/>
        <v>1015</v>
      </c>
      <c r="AU26" s="1">
        <f t="shared" si="42"/>
        <v>1220</v>
      </c>
      <c r="AV26" s="1">
        <f t="shared" si="42"/>
        <v>1435</v>
      </c>
      <c r="AW26" s="1">
        <f t="shared" si="42"/>
        <v>1665</v>
      </c>
      <c r="AX26" s="1">
        <f t="shared" si="42"/>
        <v>1910</v>
      </c>
      <c r="AY26" s="1">
        <f t="shared" si="42"/>
        <v>2170</v>
      </c>
      <c r="AZ26" s="1">
        <f t="shared" si="42"/>
        <v>2445</v>
      </c>
      <c r="BA26" s="1">
        <f t="shared" si="42"/>
        <v>2740</v>
      </c>
      <c r="BB26" s="1">
        <f t="shared" si="42"/>
        <v>3055</v>
      </c>
      <c r="BC26" s="1">
        <f t="shared" si="42"/>
        <v>3390</v>
      </c>
      <c r="BD26" s="1">
        <f t="shared" si="42"/>
        <v>3745</v>
      </c>
      <c r="BE26" s="1">
        <f t="shared" si="42"/>
        <v>4120</v>
      </c>
      <c r="BF26" s="1">
        <f t="shared" si="42"/>
        <v>4515</v>
      </c>
      <c r="BG26" s="1">
        <f t="shared" si="42"/>
        <v>4930</v>
      </c>
      <c r="BH26" s="1">
        <f t="shared" si="42"/>
        <v>5365</v>
      </c>
      <c r="BI26" s="1">
        <f t="shared" si="42"/>
        <v>5820</v>
      </c>
      <c r="BJ26" s="1">
        <f t="shared" si="42"/>
        <v>6295</v>
      </c>
      <c r="BK26" s="1">
        <f t="shared" si="42"/>
        <v>6790</v>
      </c>
      <c r="BL26" s="1">
        <f t="shared" si="42"/>
        <v>7305</v>
      </c>
      <c r="BM26" s="1">
        <f t="shared" si="42"/>
        <v>7840</v>
      </c>
      <c r="BN26" s="1">
        <f t="shared" si="42"/>
        <v>8395</v>
      </c>
      <c r="BO26" s="1">
        <f t="shared" si="42"/>
        <v>8970</v>
      </c>
      <c r="BP26" s="1">
        <f t="shared" si="42"/>
        <v>9565</v>
      </c>
      <c r="BQ26" s="1">
        <f t="shared" si="42"/>
        <v>10180</v>
      </c>
      <c r="BR26" s="1">
        <f t="shared" si="42"/>
        <v>10815</v>
      </c>
      <c r="BS26" s="1">
        <f t="shared" si="42"/>
        <v>11470</v>
      </c>
      <c r="BT26" s="1">
        <f t="shared" si="42"/>
        <v>12145</v>
      </c>
      <c r="BU26" s="1">
        <f t="shared" si="42"/>
        <v>12840</v>
      </c>
      <c r="BV26" s="1">
        <f t="shared" si="42"/>
        <v>13555</v>
      </c>
      <c r="BW26" s="1">
        <f t="shared" si="42"/>
        <v>14290</v>
      </c>
    </row>
    <row r="27" spans="1:75" ht="16" x14ac:dyDescent="0.2">
      <c r="A27" s="21"/>
      <c r="B27" s="21"/>
      <c r="C27" s="16"/>
      <c r="D27" s="16"/>
    </row>
    <row r="28" spans="1:75" ht="16" x14ac:dyDescent="0.2">
      <c r="A28" s="21"/>
      <c r="B28" s="21"/>
      <c r="C28" s="16"/>
      <c r="D28" s="24"/>
      <c r="AN28" s="4" t="s">
        <v>1563</v>
      </c>
      <c r="AO28" s="4" t="s">
        <v>1563</v>
      </c>
      <c r="AP28" s="4" t="s">
        <v>1563</v>
      </c>
      <c r="AQ28" s="4" t="s">
        <v>1563</v>
      </c>
      <c r="AR28" s="4" t="s">
        <v>1563</v>
      </c>
      <c r="AS28" s="4" t="s">
        <v>1563</v>
      </c>
      <c r="AT28" s="4" t="s">
        <v>1563</v>
      </c>
      <c r="AU28" s="4" t="s">
        <v>1563</v>
      </c>
      <c r="AV28" s="4" t="s">
        <v>1563</v>
      </c>
      <c r="AW28" s="4" t="s">
        <v>1563</v>
      </c>
      <c r="AX28" s="4" t="s">
        <v>1563</v>
      </c>
      <c r="AY28" s="4" t="s">
        <v>1563</v>
      </c>
      <c r="AZ28" s="4" t="s">
        <v>1563</v>
      </c>
      <c r="BA28" s="4" t="s">
        <v>1563</v>
      </c>
      <c r="BB28" s="4" t="s">
        <v>1563</v>
      </c>
      <c r="BC28" s="4" t="s">
        <v>1563</v>
      </c>
      <c r="BD28" s="4" t="s">
        <v>1563</v>
      </c>
      <c r="BE28" s="4" t="s">
        <v>1563</v>
      </c>
      <c r="BF28" s="4" t="s">
        <v>1563</v>
      </c>
      <c r="BG28" s="4" t="s">
        <v>1563</v>
      </c>
      <c r="BH28" s="4" t="s">
        <v>1563</v>
      </c>
      <c r="BI28" s="4" t="s">
        <v>1563</v>
      </c>
      <c r="BJ28" s="4" t="s">
        <v>1563</v>
      </c>
      <c r="BK28" s="4" t="s">
        <v>1563</v>
      </c>
      <c r="BL28" s="4" t="s">
        <v>1563</v>
      </c>
      <c r="BM28" s="4" t="s">
        <v>1563</v>
      </c>
      <c r="BN28" s="4" t="s">
        <v>1563</v>
      </c>
      <c r="BO28" s="4" t="s">
        <v>1563</v>
      </c>
      <c r="BP28" s="4" t="s">
        <v>1563</v>
      </c>
      <c r="BQ28" s="4" t="s">
        <v>1563</v>
      </c>
      <c r="BR28" s="4" t="s">
        <v>1563</v>
      </c>
      <c r="BS28" s="4" t="s">
        <v>1563</v>
      </c>
      <c r="BT28" s="4" t="s">
        <v>1563</v>
      </c>
      <c r="BU28" s="4" t="s">
        <v>1563</v>
      </c>
      <c r="BV28" s="4" t="s">
        <v>1563</v>
      </c>
      <c r="BW28" s="4" t="s">
        <v>1563</v>
      </c>
    </row>
    <row r="29" spans="1:75" ht="16" x14ac:dyDescent="0.2">
      <c r="A29" s="21"/>
      <c r="B29" s="21"/>
      <c r="C29" s="16"/>
      <c r="D29" s="16"/>
      <c r="AN29" s="6">
        <f>(AN24/AN26)*100</f>
        <v>98.4</v>
      </c>
      <c r="AO29" s="6">
        <f>(AO24/AO26)*100</f>
        <v>98.774418604651174</v>
      </c>
      <c r="AP29" s="6">
        <f>(AP24/AP26)*100</f>
        <v>98.633333333333326</v>
      </c>
      <c r="AQ29" s="6">
        <f t="shared" ref="AQ29:BW29" si="43">(AQ24/AQ26)*100</f>
        <v>98.29795918367347</v>
      </c>
      <c r="AR29" s="6">
        <f t="shared" si="43"/>
        <v>98.347692307692299</v>
      </c>
      <c r="AS29" s="6">
        <f t="shared" si="43"/>
        <v>98.38</v>
      </c>
      <c r="AT29" s="6">
        <f t="shared" si="43"/>
        <v>98.196551724137919</v>
      </c>
      <c r="AU29" s="6">
        <f t="shared" si="43"/>
        <v>98.033196721311469</v>
      </c>
      <c r="AV29" s="6">
        <f t="shared" si="43"/>
        <v>96.36933797909407</v>
      </c>
      <c r="AW29" s="6">
        <f t="shared" si="43"/>
        <v>95.123423423423418</v>
      </c>
      <c r="AX29" s="6">
        <f t="shared" si="43"/>
        <v>94.266492146596846</v>
      </c>
      <c r="AY29" s="6">
        <f t="shared" si="43"/>
        <v>93.793548387096763</v>
      </c>
      <c r="AZ29" s="6">
        <f t="shared" si="43"/>
        <v>92.293660531697341</v>
      </c>
      <c r="BA29" s="6">
        <f t="shared" si="43"/>
        <v>91.61879562043795</v>
      </c>
      <c r="BB29" s="6">
        <f t="shared" si="43"/>
        <v>90.649590834697207</v>
      </c>
      <c r="BC29" s="6">
        <f t="shared" si="43"/>
        <v>90.549852507374624</v>
      </c>
      <c r="BD29" s="6">
        <f t="shared" si="43"/>
        <v>90.349933244325769</v>
      </c>
      <c r="BE29" s="6">
        <f t="shared" si="43"/>
        <v>90.289320388349509</v>
      </c>
      <c r="BF29" s="6">
        <f t="shared" si="43"/>
        <v>90.306866002214832</v>
      </c>
      <c r="BG29" s="6">
        <f t="shared" si="43"/>
        <v>90.324949290060857</v>
      </c>
      <c r="BH29" s="6">
        <f t="shared" si="43"/>
        <v>90.316216216216219</v>
      </c>
      <c r="BI29" s="6">
        <f t="shared" si="43"/>
        <v>90.101374570446751</v>
      </c>
      <c r="BJ29" s="6">
        <f t="shared" si="43"/>
        <v>89.107863383637806</v>
      </c>
      <c r="BK29" s="6">
        <f t="shared" si="43"/>
        <v>88.392488954344628</v>
      </c>
      <c r="BL29" s="6">
        <f t="shared" si="43"/>
        <v>87.782956878850101</v>
      </c>
      <c r="BM29" s="6">
        <f t="shared" si="43"/>
        <v>87.04119897959184</v>
      </c>
      <c r="BN29" s="6">
        <f t="shared" si="43"/>
        <v>86.103037522334716</v>
      </c>
      <c r="BO29" s="6">
        <f t="shared" si="43"/>
        <v>85.122909698996651</v>
      </c>
      <c r="BP29" s="6">
        <f t="shared" si="43"/>
        <v>84.336539466806059</v>
      </c>
      <c r="BQ29" s="6">
        <f t="shared" si="43"/>
        <v>83.638015717092344</v>
      </c>
      <c r="BR29" s="6">
        <f t="shared" si="43"/>
        <v>82.919556171983359</v>
      </c>
      <c r="BS29" s="6">
        <f t="shared" si="43"/>
        <v>82.0788578901482</v>
      </c>
      <c r="BT29" s="6">
        <f t="shared" si="43"/>
        <v>80.30856319473034</v>
      </c>
      <c r="BU29" s="6">
        <f t="shared" si="43"/>
        <v>78.742328660436144</v>
      </c>
      <c r="BV29" s="6">
        <f t="shared" si="43"/>
        <v>77.301991884913321</v>
      </c>
      <c r="BW29" s="6">
        <f t="shared" si="43"/>
        <v>75.55752274317706</v>
      </c>
    </row>
    <row r="30" spans="1:75" ht="16" x14ac:dyDescent="0.2">
      <c r="A30" s="21"/>
      <c r="B30" s="21"/>
      <c r="C30" s="16"/>
      <c r="D30" s="16"/>
    </row>
    <row r="31" spans="1:75" ht="16" x14ac:dyDescent="0.2">
      <c r="A31" s="21"/>
      <c r="B31" s="21"/>
      <c r="C31" s="16"/>
      <c r="D31" s="16"/>
    </row>
    <row r="32" spans="1:75" ht="16" x14ac:dyDescent="0.2">
      <c r="A32" s="21"/>
      <c r="B32" s="21"/>
      <c r="C32" s="16"/>
      <c r="D32" s="16"/>
    </row>
    <row r="33" spans="1:4" ht="16" x14ac:dyDescent="0.2">
      <c r="A33" s="21"/>
      <c r="B33" s="21"/>
      <c r="C33" s="16"/>
      <c r="D33" s="16"/>
    </row>
    <row r="34" spans="1:4" ht="16" x14ac:dyDescent="0.2">
      <c r="A34" s="21"/>
      <c r="B34" s="21"/>
      <c r="C34" s="16"/>
      <c r="D34" s="16"/>
    </row>
    <row r="35" spans="1:4" ht="16" x14ac:dyDescent="0.2">
      <c r="A35" s="21"/>
      <c r="B35" s="21"/>
      <c r="C35" s="16"/>
      <c r="D35" s="16"/>
    </row>
    <row r="36" spans="1:4" ht="16" x14ac:dyDescent="0.2">
      <c r="C36" s="16"/>
      <c r="D36" s="16"/>
    </row>
    <row r="37" spans="1:4" ht="16" x14ac:dyDescent="0.2">
      <c r="A37" s="21"/>
      <c r="B37" s="21"/>
      <c r="C37" s="16"/>
      <c r="D37" s="16"/>
    </row>
    <row r="38" spans="1:4" ht="16" x14ac:dyDescent="0.2">
      <c r="A38" s="21"/>
      <c r="B38" s="21"/>
      <c r="C38" s="16"/>
      <c r="D38" s="24"/>
    </row>
    <row r="39" spans="1:4" ht="16" x14ac:dyDescent="0.2">
      <c r="A39" s="21"/>
      <c r="B39" s="21"/>
      <c r="C39" s="16"/>
      <c r="D39" s="16"/>
    </row>
    <row r="40" spans="1:4" ht="16" x14ac:dyDescent="0.2">
      <c r="A40" s="21"/>
      <c r="B40" s="21"/>
      <c r="C40" s="16"/>
      <c r="D40" s="16"/>
    </row>
    <row r="41" spans="1:4" ht="16" x14ac:dyDescent="0.2">
      <c r="A41" s="21"/>
      <c r="B41" s="21"/>
      <c r="C41" s="16"/>
      <c r="D41" s="16"/>
    </row>
  </sheetData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14"/>
  <sheetViews>
    <sheetView workbookViewId="0">
      <selection activeCell="G13" sqref="G13:H13"/>
    </sheetView>
  </sheetViews>
  <sheetFormatPr baseColWidth="10" defaultRowHeight="15" x14ac:dyDescent="0.2"/>
  <cols>
    <col min="2" max="2" width="25.1640625" customWidth="1"/>
  </cols>
  <sheetData>
    <row r="1" spans="1:10" ht="16" x14ac:dyDescent="0.2">
      <c r="A1" s="3" t="s">
        <v>15</v>
      </c>
      <c r="B1" s="24" t="s">
        <v>681</v>
      </c>
      <c r="C1" s="3">
        <v>1946</v>
      </c>
      <c r="D1" s="3">
        <v>1950</v>
      </c>
      <c r="E1" s="3"/>
      <c r="F1" s="3"/>
      <c r="G1" s="3">
        <v>1946</v>
      </c>
      <c r="H1" s="3">
        <v>1950</v>
      </c>
    </row>
    <row r="2" spans="1:10" ht="16" x14ac:dyDescent="0.2">
      <c r="A2" s="8" t="s">
        <v>228</v>
      </c>
      <c r="B2" s="16" t="s">
        <v>724</v>
      </c>
      <c r="C2" s="1">
        <v>85.2</v>
      </c>
      <c r="D2" s="1">
        <v>39.1</v>
      </c>
      <c r="G2" s="1">
        <v>85.2</v>
      </c>
      <c r="H2" s="1">
        <f>(D2*0.2)+D2</f>
        <v>46.92</v>
      </c>
    </row>
    <row r="3" spans="1:10" ht="16" x14ac:dyDescent="0.2">
      <c r="A3" s="8" t="s">
        <v>156</v>
      </c>
      <c r="B3" s="16" t="s">
        <v>740</v>
      </c>
      <c r="C3" s="1"/>
      <c r="D3" s="1">
        <v>3.1</v>
      </c>
      <c r="G3" s="1"/>
      <c r="H3" s="1">
        <v>3.1</v>
      </c>
    </row>
    <row r="4" spans="1:10" ht="16" x14ac:dyDescent="0.2">
      <c r="A4" s="8" t="s">
        <v>104</v>
      </c>
      <c r="B4" s="16" t="s">
        <v>744</v>
      </c>
      <c r="C4" s="1">
        <v>13.3</v>
      </c>
      <c r="D4" s="1">
        <v>54.5</v>
      </c>
      <c r="G4" s="1">
        <v>13.3</v>
      </c>
      <c r="H4" s="1">
        <f>(D4*0.2)+D4</f>
        <v>65.400000000000006</v>
      </c>
      <c r="J4" s="4"/>
    </row>
    <row r="5" spans="1:10" x14ac:dyDescent="0.2">
      <c r="F5" s="3" t="s">
        <v>14</v>
      </c>
      <c r="G5" s="1">
        <f>SUM(G2:G4)</f>
        <v>98.5</v>
      </c>
      <c r="H5" s="1">
        <f>SUM(H2:H4)</f>
        <v>115.42000000000002</v>
      </c>
      <c r="I5" s="1"/>
      <c r="J5" s="5"/>
    </row>
    <row r="7" spans="1:10" x14ac:dyDescent="0.2">
      <c r="G7" s="1">
        <v>100</v>
      </c>
      <c r="H7" s="1">
        <v>120</v>
      </c>
      <c r="I7" s="1"/>
    </row>
    <row r="9" spans="1:10" x14ac:dyDescent="0.2">
      <c r="G9" s="1">
        <f>G5</f>
        <v>98.5</v>
      </c>
      <c r="H9" s="1">
        <f>SUM(G9+H5)</f>
        <v>213.92000000000002</v>
      </c>
    </row>
    <row r="10" spans="1:10" x14ac:dyDescent="0.2">
      <c r="G10" s="3"/>
      <c r="H10" s="3"/>
    </row>
    <row r="11" spans="1:10" x14ac:dyDescent="0.2">
      <c r="G11" s="1">
        <v>100</v>
      </c>
      <c r="H11" s="1">
        <f>SUM(G11+H7)</f>
        <v>220</v>
      </c>
    </row>
    <row r="13" spans="1:10" x14ac:dyDescent="0.2">
      <c r="G13" s="4" t="s">
        <v>1563</v>
      </c>
      <c r="H13" s="4" t="s">
        <v>1563</v>
      </c>
    </row>
    <row r="14" spans="1:10" x14ac:dyDescent="0.2">
      <c r="G14" s="6">
        <f>(G9/G11)*100</f>
        <v>98.5</v>
      </c>
      <c r="H14" s="6">
        <f>(H9/H11)*100</f>
        <v>97.236363636363649</v>
      </c>
    </row>
  </sheetData>
  <pageMargins left="0.7" right="0.7" top="0.75" bottom="0.75" header="0.3" footer="0.3"/>
  <pageSetup paperSize="9" orientation="portrait" horizontalDpi="4294967292" verticalDpi="4294967292"/>
  <ignoredErrors>
    <ignoredError sqref="G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28"/>
  <sheetViews>
    <sheetView workbookViewId="0">
      <selection activeCell="J19" sqref="J19:N19"/>
    </sheetView>
  </sheetViews>
  <sheetFormatPr baseColWidth="10" defaultRowHeight="15" x14ac:dyDescent="0.2"/>
  <cols>
    <col min="2" max="2" width="24.83203125" customWidth="1"/>
  </cols>
  <sheetData>
    <row r="1" spans="1:16" ht="16" x14ac:dyDescent="0.2">
      <c r="A1" s="3" t="s">
        <v>15</v>
      </c>
      <c r="B1" s="24" t="s">
        <v>681</v>
      </c>
      <c r="C1" s="3">
        <v>1961</v>
      </c>
      <c r="D1" s="3">
        <v>1965</v>
      </c>
      <c r="E1" s="3">
        <v>1969</v>
      </c>
      <c r="F1" s="3">
        <v>1973</v>
      </c>
      <c r="G1" s="3">
        <v>1977</v>
      </c>
      <c r="J1" s="3">
        <v>1961</v>
      </c>
      <c r="K1" s="3">
        <v>1965</v>
      </c>
      <c r="L1" s="3">
        <v>1969</v>
      </c>
      <c r="M1" s="3">
        <v>1973</v>
      </c>
      <c r="N1" s="3">
        <v>1977</v>
      </c>
    </row>
    <row r="2" spans="1:16" ht="16" x14ac:dyDescent="0.2">
      <c r="A2" s="8" t="s">
        <v>228</v>
      </c>
      <c r="B2" s="16" t="s">
        <v>724</v>
      </c>
      <c r="C2" s="1">
        <v>36.700000000000003</v>
      </c>
      <c r="D2" s="1">
        <v>28.7</v>
      </c>
      <c r="E2" s="1">
        <v>27.4</v>
      </c>
      <c r="F2" s="1">
        <v>29.8</v>
      </c>
      <c r="G2" s="1">
        <v>36.9</v>
      </c>
      <c r="J2" s="1">
        <v>36.700000000000003</v>
      </c>
      <c r="K2" s="1">
        <f>(D2*0.2)+D2</f>
        <v>34.44</v>
      </c>
      <c r="L2" s="1">
        <f>(E2*0.4)+E2</f>
        <v>38.36</v>
      </c>
      <c r="M2" s="1">
        <f>(F2*0.6)+F2</f>
        <v>47.68</v>
      </c>
      <c r="N2" s="1">
        <f>(G2*0.8)+G2</f>
        <v>66.42</v>
      </c>
    </row>
    <row r="3" spans="1:16" ht="16" x14ac:dyDescent="0.2">
      <c r="A3" s="8" t="s">
        <v>97</v>
      </c>
      <c r="B3" s="16" t="s">
        <v>738</v>
      </c>
      <c r="C3" s="1">
        <v>34.799999999999997</v>
      </c>
      <c r="D3" s="1">
        <v>52.9</v>
      </c>
      <c r="E3" s="1">
        <v>46.5</v>
      </c>
      <c r="F3" s="1">
        <v>33.299999999999997</v>
      </c>
      <c r="G3" s="1">
        <v>41.4</v>
      </c>
      <c r="J3" s="1">
        <v>34.799999999999997</v>
      </c>
      <c r="K3" s="1">
        <f t="shared" ref="K3:K5" si="0">(D3*0.2)+D3</f>
        <v>63.48</v>
      </c>
      <c r="L3" s="1">
        <f t="shared" ref="L3:L5" si="1">(E3*0.4)+E3</f>
        <v>65.099999999999994</v>
      </c>
      <c r="M3" s="1">
        <f t="shared" ref="M3:M4" si="2">(F3*0.6)+F3</f>
        <v>53.279999999999994</v>
      </c>
      <c r="N3" s="1">
        <f t="shared" ref="N3:N4" si="3">(G3*0.8)+G3</f>
        <v>74.52</v>
      </c>
    </row>
    <row r="4" spans="1:16" x14ac:dyDescent="0.2">
      <c r="A4" s="8" t="s">
        <v>602</v>
      </c>
      <c r="B4" s="1" t="s">
        <v>725</v>
      </c>
      <c r="C4" s="1">
        <v>14</v>
      </c>
      <c r="D4" s="1">
        <v>2.1</v>
      </c>
      <c r="E4" s="1">
        <v>3</v>
      </c>
      <c r="F4" s="1">
        <v>3.4</v>
      </c>
      <c r="G4" s="1">
        <v>6.4</v>
      </c>
      <c r="J4" s="1">
        <v>14</v>
      </c>
      <c r="K4" s="1">
        <f t="shared" si="0"/>
        <v>2.52</v>
      </c>
      <c r="L4" s="1">
        <f t="shared" si="1"/>
        <v>4.2</v>
      </c>
      <c r="M4" s="1">
        <f t="shared" si="2"/>
        <v>5.4399999999999995</v>
      </c>
      <c r="N4" s="1">
        <f t="shared" si="3"/>
        <v>11.520000000000001</v>
      </c>
    </row>
    <row r="5" spans="1:16" x14ac:dyDescent="0.2">
      <c r="A5" s="8" t="s">
        <v>229</v>
      </c>
      <c r="B5" s="1" t="s">
        <v>739</v>
      </c>
      <c r="C5" s="1">
        <v>13.7</v>
      </c>
      <c r="D5" s="1">
        <v>3.7</v>
      </c>
      <c r="E5" s="1">
        <v>2.2000000000000002</v>
      </c>
      <c r="F5" s="1"/>
      <c r="G5" s="1"/>
      <c r="J5" s="1">
        <v>13.7</v>
      </c>
      <c r="K5" s="1">
        <f t="shared" si="0"/>
        <v>4.4400000000000004</v>
      </c>
      <c r="L5" s="1">
        <f t="shared" si="1"/>
        <v>3.08</v>
      </c>
      <c r="M5" s="1"/>
      <c r="N5" s="1"/>
    </row>
    <row r="6" spans="1:16" x14ac:dyDescent="0.2">
      <c r="A6" s="8" t="s">
        <v>230</v>
      </c>
      <c r="B6" s="1" t="s">
        <v>740</v>
      </c>
      <c r="C6" s="1"/>
      <c r="D6" s="1">
        <v>6.3</v>
      </c>
      <c r="E6" s="1">
        <v>3.2</v>
      </c>
      <c r="F6" s="1">
        <v>0.6</v>
      </c>
      <c r="G6" s="1"/>
      <c r="J6" s="1"/>
      <c r="K6" s="1">
        <v>6.3</v>
      </c>
      <c r="L6" s="1">
        <f>(E6*0.2)+E6</f>
        <v>3.8400000000000003</v>
      </c>
      <c r="M6" s="1">
        <f>(F6*0.4)+F6</f>
        <v>0.84</v>
      </c>
      <c r="N6" s="1"/>
    </row>
    <row r="7" spans="1:16" x14ac:dyDescent="0.2">
      <c r="A7" s="8" t="s">
        <v>231</v>
      </c>
      <c r="B7" s="1" t="s">
        <v>741</v>
      </c>
      <c r="C7" s="1"/>
      <c r="D7" s="1">
        <v>3</v>
      </c>
      <c r="E7" s="1">
        <v>2.7</v>
      </c>
      <c r="F7" s="1"/>
      <c r="G7" s="1">
        <v>0.1</v>
      </c>
      <c r="J7" s="1"/>
      <c r="K7" s="1">
        <v>3</v>
      </c>
      <c r="L7" s="1">
        <f>(E7*0.2)+E7</f>
        <v>3.24</v>
      </c>
      <c r="M7" s="1"/>
      <c r="N7" s="1">
        <f>(G7*0.6)+G7</f>
        <v>0.16</v>
      </c>
    </row>
    <row r="8" spans="1:16" x14ac:dyDescent="0.2">
      <c r="A8" s="8" t="s">
        <v>358</v>
      </c>
      <c r="B8" s="1" t="s">
        <v>742</v>
      </c>
      <c r="C8" s="1"/>
      <c r="D8" s="1"/>
      <c r="E8" s="1">
        <v>6.6</v>
      </c>
      <c r="F8" s="1">
        <v>5.3</v>
      </c>
      <c r="G8" s="1">
        <v>1.9</v>
      </c>
      <c r="J8" s="1"/>
      <c r="K8" s="1"/>
      <c r="L8" s="1">
        <v>6.6</v>
      </c>
      <c r="M8" s="1">
        <f>(F8*0.2)+F8</f>
        <v>6.3599999999999994</v>
      </c>
      <c r="N8" s="1">
        <f>(G8*0.4)+G8</f>
        <v>2.66</v>
      </c>
    </row>
    <row r="9" spans="1:16" x14ac:dyDescent="0.2">
      <c r="A9" s="8" t="s">
        <v>232</v>
      </c>
      <c r="B9" s="1" t="s">
        <v>743</v>
      </c>
      <c r="C9" s="1"/>
      <c r="D9" s="1"/>
      <c r="E9" s="1"/>
      <c r="F9" s="1">
        <v>11.8</v>
      </c>
      <c r="G9" s="1">
        <v>8.6</v>
      </c>
      <c r="J9" s="1"/>
      <c r="K9" s="1"/>
      <c r="L9" s="1"/>
      <c r="M9" s="1">
        <v>11.8</v>
      </c>
      <c r="N9" s="1">
        <f>(G9*0.2)+G9</f>
        <v>10.32</v>
      </c>
    </row>
    <row r="10" spans="1:16" x14ac:dyDescent="0.2">
      <c r="A10" s="8" t="s">
        <v>104</v>
      </c>
      <c r="B10" s="1" t="s">
        <v>744</v>
      </c>
      <c r="C10" s="1"/>
      <c r="D10" s="1"/>
      <c r="E10" s="1"/>
      <c r="F10" s="1">
        <v>11.9</v>
      </c>
      <c r="G10" s="1">
        <v>1.9</v>
      </c>
      <c r="J10" s="1"/>
      <c r="K10" s="1"/>
      <c r="L10" s="1"/>
      <c r="M10" s="1">
        <v>11.9</v>
      </c>
      <c r="N10" s="1">
        <f>(G10*0.2)+G10</f>
        <v>2.2799999999999998</v>
      </c>
      <c r="P10" s="4"/>
    </row>
    <row r="11" spans="1:16" x14ac:dyDescent="0.2">
      <c r="I11" s="3" t="s">
        <v>14</v>
      </c>
      <c r="J11" s="1">
        <f>SUM(J2:J10)</f>
        <v>99.2</v>
      </c>
      <c r="K11" s="1">
        <f>SUM(K2:K10)</f>
        <v>114.17999999999998</v>
      </c>
      <c r="L11" s="1">
        <f>SUM(L2:L10)</f>
        <v>124.41999999999999</v>
      </c>
      <c r="M11" s="1">
        <f>SUM(M2:M10)</f>
        <v>137.29999999999998</v>
      </c>
      <c r="N11" s="1">
        <f>SUM(N2:N10)</f>
        <v>167.88</v>
      </c>
      <c r="O11" s="1"/>
      <c r="P11" s="5"/>
    </row>
    <row r="13" spans="1:16" x14ac:dyDescent="0.2">
      <c r="J13" s="1">
        <v>100</v>
      </c>
      <c r="K13" s="1">
        <v>120</v>
      </c>
      <c r="L13" s="1">
        <v>140</v>
      </c>
      <c r="M13" s="1">
        <v>160</v>
      </c>
      <c r="N13" s="1">
        <v>180</v>
      </c>
      <c r="O13" s="1"/>
    </row>
    <row r="15" spans="1:16" x14ac:dyDescent="0.2">
      <c r="J15" s="1">
        <f>J11</f>
        <v>99.2</v>
      </c>
      <c r="K15" s="1">
        <f>SUM(J15+K11)</f>
        <v>213.38</v>
      </c>
      <c r="L15" s="1">
        <f>SUM(K15+L11)</f>
        <v>337.79999999999995</v>
      </c>
      <c r="M15" s="1">
        <f t="shared" ref="M15:N15" si="4">SUM(L15+M11)</f>
        <v>475.09999999999991</v>
      </c>
      <c r="N15" s="1">
        <f t="shared" si="4"/>
        <v>642.9799999999999</v>
      </c>
      <c r="O15" s="1"/>
      <c r="P15" s="1"/>
    </row>
    <row r="16" spans="1:16" x14ac:dyDescent="0.2">
      <c r="J16" s="3"/>
      <c r="K16" s="3"/>
      <c r="L16" s="3"/>
      <c r="M16" s="1"/>
      <c r="N16" s="1"/>
      <c r="O16" s="1"/>
      <c r="P16" s="6"/>
    </row>
    <row r="17" spans="1:16" x14ac:dyDescent="0.2">
      <c r="J17" s="1">
        <v>100</v>
      </c>
      <c r="K17" s="1">
        <f>SUM(J17+K13)</f>
        <v>220</v>
      </c>
      <c r="L17" s="1">
        <f>SUM(K17+L13)</f>
        <v>360</v>
      </c>
      <c r="M17" s="1">
        <f t="shared" ref="M17:N17" si="5">SUM(L17+M13)</f>
        <v>520</v>
      </c>
      <c r="N17" s="1">
        <f t="shared" si="5"/>
        <v>700</v>
      </c>
      <c r="O17" s="1"/>
      <c r="P17" s="1"/>
    </row>
    <row r="19" spans="1:16" ht="16" x14ac:dyDescent="0.2">
      <c r="A19" s="15"/>
      <c r="B19" s="15"/>
      <c r="C19" s="16"/>
      <c r="J19" s="4" t="s">
        <v>1563</v>
      </c>
      <c r="K19" s="4" t="s">
        <v>1563</v>
      </c>
      <c r="L19" s="4" t="s">
        <v>1563</v>
      </c>
      <c r="M19" s="4" t="s">
        <v>1563</v>
      </c>
      <c r="N19" s="4" t="s">
        <v>1563</v>
      </c>
      <c r="O19" s="4"/>
      <c r="P19" s="4"/>
    </row>
    <row r="20" spans="1:16" ht="16" x14ac:dyDescent="0.2">
      <c r="A20" s="15"/>
      <c r="B20" s="15"/>
      <c r="C20" s="16"/>
      <c r="J20" s="6">
        <f>(J15/J17)*100</f>
        <v>99.2</v>
      </c>
      <c r="K20" s="6">
        <f>(K15/K17)*100</f>
        <v>96.990909090909099</v>
      </c>
      <c r="L20" s="6">
        <f>(L15/L17)*100</f>
        <v>93.833333333333329</v>
      </c>
      <c r="M20" s="6">
        <f t="shared" ref="M20:N20" si="6">(M15/M17)*100</f>
        <v>91.365384615384599</v>
      </c>
      <c r="N20" s="6">
        <f t="shared" si="6"/>
        <v>91.854285714285695</v>
      </c>
      <c r="O20" s="6"/>
      <c r="P20" s="6"/>
    </row>
    <row r="21" spans="1:16" ht="16" x14ac:dyDescent="0.2">
      <c r="A21" s="15"/>
      <c r="B21" s="15"/>
      <c r="C21" s="1"/>
    </row>
    <row r="22" spans="1:16" ht="16" x14ac:dyDescent="0.2">
      <c r="A22" s="15"/>
      <c r="B22" s="15"/>
      <c r="C22" s="1"/>
    </row>
    <row r="23" spans="1:16" ht="16" x14ac:dyDescent="0.2">
      <c r="A23" s="15"/>
      <c r="B23" s="15"/>
      <c r="C23" s="1"/>
    </row>
    <row r="24" spans="1:16" ht="16" x14ac:dyDescent="0.2">
      <c r="A24" s="15"/>
      <c r="B24" s="15"/>
      <c r="C24" s="1"/>
    </row>
    <row r="25" spans="1:16" ht="16" x14ac:dyDescent="0.2">
      <c r="A25" s="15"/>
      <c r="B25" s="15"/>
      <c r="C25" s="1"/>
    </row>
    <row r="26" spans="1:16" ht="16" x14ac:dyDescent="0.2">
      <c r="A26" s="15"/>
      <c r="B26" s="15"/>
    </row>
    <row r="27" spans="1:16" ht="16" x14ac:dyDescent="0.2">
      <c r="A27" s="15"/>
      <c r="B27" s="15"/>
      <c r="C27" s="1"/>
    </row>
    <row r="28" spans="1:16" ht="16" x14ac:dyDescent="0.2">
      <c r="A28" s="15"/>
      <c r="B28" s="15"/>
      <c r="C28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56"/>
  <sheetViews>
    <sheetView topLeftCell="X26" workbookViewId="0">
      <selection activeCell="AH33" sqref="AH33:BL33"/>
    </sheetView>
  </sheetViews>
  <sheetFormatPr baseColWidth="10" defaultRowHeight="15" x14ac:dyDescent="0.2"/>
  <sheetData>
    <row r="1" spans="1:64" x14ac:dyDescent="0.2">
      <c r="A1" s="3" t="s">
        <v>15</v>
      </c>
      <c r="B1" s="3">
        <v>1919</v>
      </c>
      <c r="C1" s="3">
        <v>1921</v>
      </c>
      <c r="D1" s="3">
        <v>1925</v>
      </c>
      <c r="E1" s="3">
        <v>1929</v>
      </c>
      <c r="F1" s="3">
        <v>1932</v>
      </c>
      <c r="G1" s="3">
        <v>1936</v>
      </c>
      <c r="H1" s="3">
        <v>1939</v>
      </c>
      <c r="I1" s="3">
        <v>1946</v>
      </c>
      <c r="J1" s="3">
        <v>1949</v>
      </c>
      <c r="K1" s="3">
        <v>1950</v>
      </c>
      <c r="L1" s="3">
        <v>1954</v>
      </c>
      <c r="M1" s="3">
        <v>1958</v>
      </c>
      <c r="N1" s="3">
        <v>1961</v>
      </c>
      <c r="O1" s="3">
        <v>1965</v>
      </c>
      <c r="P1" s="3">
        <v>1968</v>
      </c>
      <c r="Q1" s="3">
        <v>1971</v>
      </c>
      <c r="R1" s="3">
        <v>1974</v>
      </c>
      <c r="S1" s="3">
        <v>1977</v>
      </c>
      <c r="T1" s="3">
        <v>1978</v>
      </c>
      <c r="U1" s="3">
        <v>1981</v>
      </c>
      <c r="V1" s="3">
        <v>1985</v>
      </c>
      <c r="W1" s="3">
        <v>1987</v>
      </c>
      <c r="X1" s="3">
        <v>1991</v>
      </c>
      <c r="Y1" s="3">
        <v>1995</v>
      </c>
      <c r="Z1" s="3">
        <v>1999</v>
      </c>
      <c r="AA1" s="3">
        <v>2003</v>
      </c>
      <c r="AB1" s="3">
        <v>2007</v>
      </c>
      <c r="AC1" s="3">
        <v>2010</v>
      </c>
      <c r="AD1" s="3">
        <v>2014</v>
      </c>
      <c r="AE1" s="3">
        <v>2019</v>
      </c>
      <c r="AF1" s="3">
        <v>2024</v>
      </c>
      <c r="AH1" s="3">
        <v>1919</v>
      </c>
      <c r="AI1" s="3">
        <v>1921</v>
      </c>
      <c r="AJ1" s="3">
        <v>1925</v>
      </c>
      <c r="AK1" s="3">
        <v>1929</v>
      </c>
      <c r="AL1" s="3">
        <v>1932</v>
      </c>
      <c r="AM1" s="3">
        <v>1936</v>
      </c>
      <c r="AN1" s="3">
        <v>1939</v>
      </c>
      <c r="AO1" s="3">
        <v>1946</v>
      </c>
      <c r="AP1" s="3">
        <v>1949</v>
      </c>
      <c r="AQ1" s="3">
        <v>1950</v>
      </c>
      <c r="AR1" s="3">
        <v>1954</v>
      </c>
      <c r="AS1" s="3">
        <v>1958</v>
      </c>
      <c r="AT1" s="3">
        <v>1961</v>
      </c>
      <c r="AU1" s="3">
        <v>1965</v>
      </c>
      <c r="AV1" s="3">
        <v>1968</v>
      </c>
      <c r="AW1" s="3">
        <v>1971</v>
      </c>
      <c r="AX1" s="3">
        <v>1974</v>
      </c>
      <c r="AY1" s="3">
        <v>1977</v>
      </c>
      <c r="AZ1" s="3">
        <v>1978</v>
      </c>
      <c r="BA1" s="3">
        <v>1981</v>
      </c>
      <c r="BB1" s="3">
        <v>1985</v>
      </c>
      <c r="BC1" s="3">
        <v>1987</v>
      </c>
      <c r="BD1" s="3">
        <v>1991</v>
      </c>
      <c r="BE1" s="3">
        <v>1995</v>
      </c>
      <c r="BF1" s="3">
        <v>1999</v>
      </c>
      <c r="BG1" s="3">
        <v>2003</v>
      </c>
      <c r="BH1" s="3">
        <v>2007</v>
      </c>
      <c r="BI1" s="3">
        <v>2010</v>
      </c>
      <c r="BJ1" s="3">
        <v>2014</v>
      </c>
      <c r="BK1" s="3">
        <v>2019</v>
      </c>
      <c r="BL1" s="3">
        <v>2024</v>
      </c>
    </row>
    <row r="2" spans="1:64" x14ac:dyDescent="0.2">
      <c r="A2" s="8" t="s">
        <v>1298</v>
      </c>
      <c r="B2" s="1">
        <v>35.200000000000003</v>
      </c>
      <c r="C2" s="1">
        <v>39.799999999999997</v>
      </c>
      <c r="D2" s="1">
        <v>36.1</v>
      </c>
      <c r="E2" s="1">
        <v>36.6</v>
      </c>
      <c r="F2" s="1">
        <v>38.5</v>
      </c>
      <c r="G2" s="1">
        <v>27.7</v>
      </c>
      <c r="H2" s="1">
        <v>30.4</v>
      </c>
      <c r="I2" s="1">
        <v>42.5</v>
      </c>
      <c r="J2" s="1">
        <v>43.6</v>
      </c>
      <c r="K2" s="1">
        <v>47.7</v>
      </c>
      <c r="L2" s="1">
        <v>41.2</v>
      </c>
      <c r="M2" s="1">
        <v>46.5</v>
      </c>
      <c r="N2" s="1">
        <v>41.5</v>
      </c>
      <c r="O2" s="1">
        <v>34.5</v>
      </c>
      <c r="P2" s="1">
        <v>31.8</v>
      </c>
      <c r="Q2" s="1">
        <v>18.3</v>
      </c>
      <c r="R2" s="1">
        <v>23.3</v>
      </c>
      <c r="S2" s="1">
        <v>26.2</v>
      </c>
      <c r="T2" s="1">
        <v>26.1</v>
      </c>
      <c r="U2" s="1">
        <v>19.3</v>
      </c>
      <c r="V2" s="1">
        <v>21.3</v>
      </c>
      <c r="W2" s="1">
        <v>19.5</v>
      </c>
      <c r="X2" s="1">
        <v>16.8</v>
      </c>
      <c r="Y2" s="1">
        <v>17.2</v>
      </c>
      <c r="Z2" s="1">
        <v>14.1</v>
      </c>
      <c r="AA2" s="1">
        <v>13.3</v>
      </c>
      <c r="AB2" s="1">
        <v>18.5</v>
      </c>
      <c r="AC2" s="1">
        <v>10.9</v>
      </c>
      <c r="AD2" s="1">
        <v>11.6</v>
      </c>
      <c r="AE2" s="1">
        <v>8.9</v>
      </c>
      <c r="AF2" s="1">
        <v>8</v>
      </c>
      <c r="AG2" s="8"/>
      <c r="AH2" s="1">
        <v>35.200000000000003</v>
      </c>
      <c r="AI2" s="1">
        <f>(C2*0.1)+C2</f>
        <v>43.779999999999994</v>
      </c>
      <c r="AJ2" s="1">
        <f>(D2*0.3)+D2</f>
        <v>46.93</v>
      </c>
      <c r="AK2" s="1">
        <f>(E2*0.5)+E2</f>
        <v>54.900000000000006</v>
      </c>
      <c r="AL2" s="1">
        <f>(F2*0.65)+F2</f>
        <v>63.525000000000006</v>
      </c>
      <c r="AM2" s="1">
        <f>(G2*0.85)+G2</f>
        <v>51.244999999999997</v>
      </c>
      <c r="AN2" s="1">
        <f>(H2*1)+H2</f>
        <v>60.8</v>
      </c>
      <c r="AO2" s="1">
        <f>(I2*1.35)+I2</f>
        <v>99.875</v>
      </c>
      <c r="AP2" s="1">
        <f>(J2*1.5)+J2</f>
        <v>109</v>
      </c>
      <c r="AQ2" s="1">
        <f>(K2*1.55)+K2</f>
        <v>121.63500000000001</v>
      </c>
      <c r="AR2" s="1">
        <f>(L2*1.75)+L2</f>
        <v>113.30000000000001</v>
      </c>
      <c r="AS2" s="1">
        <f>(M2*1.95)+M2</f>
        <v>137.17500000000001</v>
      </c>
      <c r="AT2" s="1">
        <f>(N2*2.1)+N2</f>
        <v>128.65</v>
      </c>
      <c r="AU2" s="1">
        <f>(O2*2.3)+O2</f>
        <v>113.85</v>
      </c>
      <c r="AV2" s="1">
        <f>(P2*2.45)+P2</f>
        <v>109.71000000000001</v>
      </c>
      <c r="AW2" s="1">
        <f>(Q2*2.6)+Q2</f>
        <v>65.88000000000001</v>
      </c>
      <c r="AX2" s="1">
        <f>(R2*2.75)+R2</f>
        <v>87.375</v>
      </c>
      <c r="AY2" s="1">
        <f>(S2*2.9)+S2</f>
        <v>102.17999999999999</v>
      </c>
      <c r="AZ2" s="1">
        <f>(T2*2.95)+T2</f>
        <v>103.095</v>
      </c>
      <c r="BA2" s="1">
        <f>(U2*3.1)+U2</f>
        <v>79.13000000000001</v>
      </c>
      <c r="BB2" s="1">
        <f>(V2*3.3)+V2</f>
        <v>91.589999999999989</v>
      </c>
      <c r="BC2" s="1">
        <f>(W2*3.4)+W2</f>
        <v>85.8</v>
      </c>
      <c r="BD2" s="1">
        <f>(X2*3.6)+X2</f>
        <v>77.28</v>
      </c>
      <c r="BE2" s="1">
        <f>(Y2*3.8)+Y2</f>
        <v>82.56</v>
      </c>
      <c r="BF2" s="1">
        <f>(Z2*4)+Z2</f>
        <v>70.5</v>
      </c>
      <c r="BG2" s="1">
        <f>(AA2*4.2)+AA2</f>
        <v>69.160000000000011</v>
      </c>
      <c r="BH2" s="1">
        <f>(AB2*4.4)+AB2</f>
        <v>99.9</v>
      </c>
      <c r="BI2" s="1">
        <f>(AC2*4.55)+AC2</f>
        <v>60.494999999999997</v>
      </c>
      <c r="BJ2" s="1">
        <f>(AD2*4.75)+AD2</f>
        <v>66.7</v>
      </c>
      <c r="BK2" s="1">
        <f>(AE2*5)+AE2</f>
        <v>53.4</v>
      </c>
      <c r="BL2" s="1">
        <f>(AF2*5.25)+AF2</f>
        <v>50</v>
      </c>
    </row>
    <row r="3" spans="1:64" x14ac:dyDescent="0.2">
      <c r="A3" s="8" t="s">
        <v>1296</v>
      </c>
      <c r="B3" s="1">
        <v>36.6</v>
      </c>
      <c r="C3" s="1">
        <v>34.9</v>
      </c>
      <c r="D3" s="1">
        <v>39.4</v>
      </c>
      <c r="E3" s="1">
        <v>36</v>
      </c>
      <c r="F3" s="1">
        <v>37.1</v>
      </c>
      <c r="G3" s="1">
        <v>32.1</v>
      </c>
      <c r="H3" s="1">
        <v>29.4</v>
      </c>
      <c r="I3" s="1">
        <v>31.6</v>
      </c>
      <c r="J3" s="1">
        <v>29.8</v>
      </c>
      <c r="K3" s="1">
        <v>34.5</v>
      </c>
      <c r="L3" s="1">
        <v>37.299999999999997</v>
      </c>
      <c r="M3" s="1">
        <v>35.799999999999997</v>
      </c>
      <c r="N3" s="1">
        <v>36.700000000000003</v>
      </c>
      <c r="O3" s="1">
        <v>28.3</v>
      </c>
      <c r="P3" s="1">
        <v>27.1</v>
      </c>
      <c r="Q3" s="1">
        <v>22.2</v>
      </c>
      <c r="R3" s="1">
        <v>29.8</v>
      </c>
      <c r="S3" s="1">
        <v>26.4</v>
      </c>
      <c r="T3" s="1">
        <v>12.5</v>
      </c>
      <c r="U3" s="1">
        <v>12.2</v>
      </c>
      <c r="V3" s="1">
        <v>13.8</v>
      </c>
      <c r="W3" s="1">
        <v>15.6</v>
      </c>
      <c r="X3" s="1">
        <v>13.5</v>
      </c>
      <c r="Y3" s="1">
        <v>11.9</v>
      </c>
      <c r="Z3" s="1">
        <v>10.199999999999999</v>
      </c>
      <c r="AA3" s="1">
        <v>13</v>
      </c>
      <c r="AB3" s="1">
        <v>10.9</v>
      </c>
      <c r="AC3" s="1">
        <v>13.7</v>
      </c>
      <c r="AD3" s="1">
        <v>11.7</v>
      </c>
      <c r="AE3" s="1">
        <v>9.5</v>
      </c>
      <c r="AF3" s="1">
        <v>8</v>
      </c>
      <c r="AG3" s="8"/>
      <c r="AH3" s="1">
        <v>36.6</v>
      </c>
      <c r="AI3" s="1">
        <f t="shared" ref="AI3:AI8" si="0">(C3*0.1)+C3</f>
        <v>38.39</v>
      </c>
      <c r="AJ3" s="1">
        <f t="shared" ref="AJ3:AJ5" si="1">(D3*0.3)+D3</f>
        <v>51.22</v>
      </c>
      <c r="AK3" s="1">
        <f t="shared" ref="AK3:AK5" si="2">(E3*0.5)+E3</f>
        <v>54</v>
      </c>
      <c r="AL3" s="1">
        <f t="shared" ref="AL3:AL4" si="3">(F3*0.65)+F3</f>
        <v>61.215000000000003</v>
      </c>
      <c r="AM3" s="1">
        <f t="shared" ref="AM3:AM5" si="4">(G3*0.85)+G3</f>
        <v>59.385000000000005</v>
      </c>
      <c r="AN3" s="1">
        <f t="shared" ref="AN3:AN4" si="5">(H3*1)+H3</f>
        <v>58.8</v>
      </c>
      <c r="AO3" s="1">
        <f t="shared" ref="AO3:AO4" si="6">(I3*1.35)+I3</f>
        <v>74.260000000000005</v>
      </c>
      <c r="AP3" s="1">
        <f t="shared" ref="AP3:AP4" si="7">(J3*1.5)+J3</f>
        <v>74.5</v>
      </c>
      <c r="AQ3" s="1">
        <f t="shared" ref="AQ3:AQ4" si="8">(K3*1.55)+K3</f>
        <v>87.974999999999994</v>
      </c>
      <c r="AR3" s="1">
        <f t="shared" ref="AR3:AR4" si="9">(L3*1.75)+L3</f>
        <v>102.57499999999999</v>
      </c>
      <c r="AS3" s="1">
        <f t="shared" ref="AS3:AS4" si="10">(M3*1.95)+M3</f>
        <v>105.60999999999999</v>
      </c>
      <c r="AT3" s="1">
        <f t="shared" ref="AT3:AT4" si="11">(N3*2.1)+N3</f>
        <v>113.77000000000001</v>
      </c>
      <c r="AU3" s="1">
        <f t="shared" ref="AU3:AU4" si="12">(O3*2.3)+O3</f>
        <v>93.39</v>
      </c>
      <c r="AV3" s="1">
        <f t="shared" ref="AV3:AV4" si="13">(P3*2.45)+P3</f>
        <v>93.495000000000005</v>
      </c>
      <c r="AW3" s="1">
        <f t="shared" ref="AW3:AW4" si="14">(Q3*2.6)+Q3</f>
        <v>79.92</v>
      </c>
      <c r="AX3" s="1">
        <f t="shared" ref="AX3:AX4" si="15">(R3*2.75)+R3</f>
        <v>111.75</v>
      </c>
      <c r="AY3" s="1">
        <f t="shared" ref="AY3:AY4" si="16">(S3*2.9)+S3</f>
        <v>102.95999999999998</v>
      </c>
      <c r="AZ3" s="1">
        <f t="shared" ref="AZ3:AZ4" si="17">(T3*2.95)+T3</f>
        <v>49.375</v>
      </c>
      <c r="BA3" s="1">
        <f t="shared" ref="BA3:BA4" si="18">(U3*3.1)+U3</f>
        <v>50.019999999999996</v>
      </c>
      <c r="BB3" s="1">
        <f t="shared" ref="BB3:BB4" si="19">(V3*3.3)+V3</f>
        <v>59.34</v>
      </c>
      <c r="BC3" s="1">
        <f t="shared" ref="BC3:BC4" si="20">(W3*3.4)+W3</f>
        <v>68.64</v>
      </c>
      <c r="BD3" s="1">
        <f t="shared" ref="BD3:BD4" si="21">(X3*3.6)+X3</f>
        <v>62.1</v>
      </c>
      <c r="BE3" s="1">
        <f t="shared" ref="BE3:BE4" si="22">(Y3*3.8)+Y3</f>
        <v>57.12</v>
      </c>
      <c r="BF3" s="1">
        <f t="shared" ref="BF3:BF4" si="23">(Z3*4)+Z3</f>
        <v>51</v>
      </c>
      <c r="BG3" s="1">
        <f t="shared" ref="BG3:BG4" si="24">(AA3*4.2)+AA3</f>
        <v>67.599999999999994</v>
      </c>
      <c r="BH3" s="1">
        <f t="shared" ref="BH3:BH4" si="25">(AB3*4.4)+AB3</f>
        <v>58.860000000000007</v>
      </c>
      <c r="BI3" s="1">
        <f t="shared" ref="BI3:BI4" si="26">(AC3*4.55)+AC3</f>
        <v>76.034999999999997</v>
      </c>
      <c r="BJ3" s="1">
        <f t="shared" ref="BJ3:BJ4" si="27">(AD3*4.75)+AD3</f>
        <v>67.274999999999991</v>
      </c>
      <c r="BK3" s="1">
        <f t="shared" ref="BK3:BK4" si="28">(AE3*5)+AE3</f>
        <v>57</v>
      </c>
      <c r="BL3" s="1">
        <f t="shared" ref="BL3:BL4" si="29">(AF3*5.25)+AF3</f>
        <v>50</v>
      </c>
    </row>
    <row r="4" spans="1:64" x14ac:dyDescent="0.2">
      <c r="A4" s="8" t="s">
        <v>1299</v>
      </c>
      <c r="B4" s="1">
        <v>17.600000000000001</v>
      </c>
      <c r="C4" s="1">
        <v>18.100000000000001</v>
      </c>
      <c r="D4" s="1">
        <v>14.6</v>
      </c>
      <c r="E4" s="1">
        <v>16.600000000000001</v>
      </c>
      <c r="F4" s="1">
        <v>14.3</v>
      </c>
      <c r="G4" s="1">
        <v>12.4</v>
      </c>
      <c r="H4" s="1">
        <v>17.2</v>
      </c>
      <c r="I4" s="1">
        <v>8.9</v>
      </c>
      <c r="J4" s="1">
        <v>15.3</v>
      </c>
      <c r="K4" s="1">
        <v>11.3</v>
      </c>
      <c r="L4" s="1">
        <v>12.2</v>
      </c>
      <c r="M4" s="1">
        <v>11.1</v>
      </c>
      <c r="N4" s="1">
        <v>12.3</v>
      </c>
      <c r="O4" s="1">
        <v>21.6</v>
      </c>
      <c r="P4" s="1">
        <v>20.9</v>
      </c>
      <c r="Q4" s="1">
        <v>9.1</v>
      </c>
      <c r="R4" s="1">
        <v>15.2</v>
      </c>
      <c r="S4" s="1">
        <v>12.1</v>
      </c>
      <c r="T4" s="1">
        <v>10.4</v>
      </c>
      <c r="U4" s="1">
        <v>12.9</v>
      </c>
      <c r="V4" s="1">
        <v>10.8</v>
      </c>
      <c r="W4" s="1">
        <v>11.5</v>
      </c>
      <c r="X4" s="1">
        <v>12</v>
      </c>
      <c r="Y4" s="1">
        <v>13.1</v>
      </c>
      <c r="Z4" s="1">
        <v>14.3</v>
      </c>
      <c r="AA4" s="1">
        <v>15.4</v>
      </c>
      <c r="AB4" s="1">
        <v>11.8</v>
      </c>
      <c r="AC4" s="1">
        <v>8.6</v>
      </c>
      <c r="AD4" s="1">
        <v>9.8000000000000007</v>
      </c>
      <c r="AE4" s="1">
        <v>8.5</v>
      </c>
      <c r="AF4" s="1">
        <v>5.5</v>
      </c>
      <c r="AG4" s="8"/>
      <c r="AH4" s="1">
        <v>17.600000000000001</v>
      </c>
      <c r="AI4" s="1">
        <f t="shared" si="0"/>
        <v>19.91</v>
      </c>
      <c r="AJ4" s="1">
        <f t="shared" si="1"/>
        <v>18.98</v>
      </c>
      <c r="AK4" s="1">
        <f t="shared" si="2"/>
        <v>24.900000000000002</v>
      </c>
      <c r="AL4" s="1">
        <f t="shared" si="3"/>
        <v>23.594999999999999</v>
      </c>
      <c r="AM4" s="1">
        <f t="shared" si="4"/>
        <v>22.939999999999998</v>
      </c>
      <c r="AN4" s="1">
        <f t="shared" si="5"/>
        <v>34.4</v>
      </c>
      <c r="AO4" s="1">
        <f t="shared" si="6"/>
        <v>20.914999999999999</v>
      </c>
      <c r="AP4" s="1">
        <f t="shared" si="7"/>
        <v>38.25</v>
      </c>
      <c r="AQ4" s="1">
        <f t="shared" si="8"/>
        <v>28.815000000000001</v>
      </c>
      <c r="AR4" s="1">
        <f t="shared" si="9"/>
        <v>33.549999999999997</v>
      </c>
      <c r="AS4" s="1">
        <f t="shared" si="10"/>
        <v>32.744999999999997</v>
      </c>
      <c r="AT4" s="1">
        <f t="shared" si="11"/>
        <v>38.130000000000003</v>
      </c>
      <c r="AU4" s="1">
        <f t="shared" si="12"/>
        <v>71.28</v>
      </c>
      <c r="AV4" s="1">
        <f t="shared" si="13"/>
        <v>72.10499999999999</v>
      </c>
      <c r="AW4" s="1">
        <f t="shared" si="14"/>
        <v>32.76</v>
      </c>
      <c r="AX4" s="1">
        <f t="shared" si="15"/>
        <v>57</v>
      </c>
      <c r="AY4" s="1">
        <f t="shared" si="16"/>
        <v>47.19</v>
      </c>
      <c r="AZ4" s="1">
        <f t="shared" si="17"/>
        <v>41.080000000000005</v>
      </c>
      <c r="BA4" s="1">
        <f t="shared" si="18"/>
        <v>52.89</v>
      </c>
      <c r="BB4" s="1">
        <f t="shared" si="19"/>
        <v>46.44</v>
      </c>
      <c r="BC4" s="1">
        <f t="shared" si="20"/>
        <v>50.6</v>
      </c>
      <c r="BD4" s="1">
        <f t="shared" si="21"/>
        <v>55.2</v>
      </c>
      <c r="BE4" s="1">
        <f t="shared" si="22"/>
        <v>62.879999999999995</v>
      </c>
      <c r="BF4" s="1">
        <f t="shared" si="23"/>
        <v>71.5</v>
      </c>
      <c r="BG4" s="1">
        <f t="shared" si="24"/>
        <v>80.080000000000013</v>
      </c>
      <c r="BH4" s="1">
        <f t="shared" si="25"/>
        <v>63.720000000000013</v>
      </c>
      <c r="BI4" s="1">
        <f t="shared" si="26"/>
        <v>47.73</v>
      </c>
      <c r="BJ4" s="1">
        <f t="shared" si="27"/>
        <v>56.350000000000009</v>
      </c>
      <c r="BK4" s="1">
        <f t="shared" si="28"/>
        <v>51</v>
      </c>
      <c r="BL4" s="1">
        <f t="shared" si="29"/>
        <v>34.375</v>
      </c>
    </row>
    <row r="5" spans="1:64" x14ac:dyDescent="0.2">
      <c r="A5" s="1" t="s">
        <v>1306</v>
      </c>
      <c r="B5" s="1">
        <v>2.4</v>
      </c>
      <c r="C5" s="1">
        <v>4.3</v>
      </c>
      <c r="D5" s="1">
        <v>2.5</v>
      </c>
      <c r="E5" s="1">
        <v>2.4</v>
      </c>
      <c r="G5" s="1">
        <v>0.9</v>
      </c>
      <c r="AC5" s="1"/>
      <c r="AD5" s="1"/>
      <c r="AE5" s="1"/>
      <c r="AF5" s="1"/>
      <c r="AG5" s="1"/>
      <c r="AH5" s="1">
        <v>2.4</v>
      </c>
      <c r="AI5" s="1">
        <f t="shared" si="0"/>
        <v>4.7299999999999995</v>
      </c>
      <c r="AJ5" s="1">
        <f t="shared" si="1"/>
        <v>3.25</v>
      </c>
      <c r="AK5" s="1">
        <f t="shared" si="2"/>
        <v>3.5999999999999996</v>
      </c>
      <c r="AL5" s="1"/>
      <c r="AM5" s="1">
        <f t="shared" si="4"/>
        <v>1.665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L5" s="1"/>
    </row>
    <row r="6" spans="1:64" x14ac:dyDescent="0.2">
      <c r="A6" s="1" t="s">
        <v>1301</v>
      </c>
      <c r="B6" s="1"/>
      <c r="D6" s="1">
        <v>1.6</v>
      </c>
      <c r="E6" s="1">
        <v>1.9</v>
      </c>
      <c r="F6" s="1">
        <v>2.8</v>
      </c>
      <c r="G6" s="1">
        <v>6.1</v>
      </c>
      <c r="H6" s="1">
        <v>4.7</v>
      </c>
      <c r="I6" s="1">
        <v>12.7</v>
      </c>
      <c r="J6" s="1">
        <v>7.5</v>
      </c>
      <c r="K6" s="1">
        <v>4.8</v>
      </c>
      <c r="L6" s="1">
        <v>3.6</v>
      </c>
      <c r="M6" s="1">
        <v>1.9</v>
      </c>
      <c r="N6" s="1">
        <v>3.1</v>
      </c>
      <c r="O6" s="1">
        <v>4.8</v>
      </c>
      <c r="P6" s="1">
        <v>3.3</v>
      </c>
      <c r="Q6" s="1">
        <v>3</v>
      </c>
      <c r="R6" s="1">
        <v>2</v>
      </c>
      <c r="S6" s="1">
        <v>1.8</v>
      </c>
      <c r="T6" s="1">
        <v>3.3</v>
      </c>
      <c r="U6" s="1">
        <v>2.2999999999999998</v>
      </c>
      <c r="V6" s="1">
        <v>1.2</v>
      </c>
      <c r="W6" s="1">
        <v>0.8</v>
      </c>
      <c r="X6" s="1">
        <v>0.1</v>
      </c>
      <c r="Y6" s="1">
        <v>0.1</v>
      </c>
      <c r="Z6" s="1">
        <v>0.1</v>
      </c>
      <c r="AA6" s="1">
        <v>0.1</v>
      </c>
      <c r="AB6" s="1">
        <v>0.3</v>
      </c>
      <c r="AC6" s="1">
        <v>0.3</v>
      </c>
      <c r="AD6" s="3"/>
      <c r="AE6" s="1"/>
      <c r="AF6" s="1"/>
      <c r="AG6" s="1"/>
      <c r="AH6" s="1"/>
      <c r="AI6" s="1"/>
      <c r="AJ6" s="1">
        <v>1.6</v>
      </c>
      <c r="AK6" s="1">
        <f>(E6*0.2)+E6</f>
        <v>2.2799999999999998</v>
      </c>
      <c r="AL6" s="1">
        <f>(F6*0.35)+F6</f>
        <v>3.78</v>
      </c>
      <c r="AM6" s="1">
        <f>(G6*0.55)+G6</f>
        <v>9.4550000000000001</v>
      </c>
      <c r="AN6" s="1">
        <f>(H6*0.7)+H6</f>
        <v>7.99</v>
      </c>
      <c r="AO6" s="1">
        <f>(I6*1.05)+I6</f>
        <v>26.034999999999997</v>
      </c>
      <c r="AP6" s="1">
        <f>(J6*1.2)+J6</f>
        <v>16.5</v>
      </c>
      <c r="AQ6" s="1">
        <f>(K6*1.25)+K6</f>
        <v>10.8</v>
      </c>
      <c r="AR6" s="1">
        <f>(L6*1.45)+L6</f>
        <v>8.82</v>
      </c>
      <c r="AS6" s="1">
        <f>(M6*1.65)+M6</f>
        <v>5.0350000000000001</v>
      </c>
      <c r="AT6" s="1">
        <f>(N6*1.8)+N6</f>
        <v>8.68</v>
      </c>
      <c r="AU6" s="1">
        <f>(O6*2)+O6</f>
        <v>14.399999999999999</v>
      </c>
      <c r="AV6" s="1">
        <f>(P6*2.15)+P6</f>
        <v>10.395</v>
      </c>
      <c r="AW6" s="1">
        <f>(Q6*2.3)+Q6</f>
        <v>9.8999999999999986</v>
      </c>
      <c r="AX6" s="1">
        <f>(R6*2.45)+R6</f>
        <v>6.9</v>
      </c>
      <c r="AY6" s="1">
        <f>(S6*2.6)+S6</f>
        <v>6.48</v>
      </c>
      <c r="AZ6" s="1">
        <f>(T6*2.65)+T6</f>
        <v>12.044999999999998</v>
      </c>
      <c r="BA6" s="1">
        <f>(U6*2.8)+U6</f>
        <v>8.7399999999999984</v>
      </c>
      <c r="BB6" s="1">
        <f>(V6*3)+V6</f>
        <v>4.8</v>
      </c>
      <c r="BC6" s="1">
        <f>(W6*3.1)+W6</f>
        <v>3.2800000000000002</v>
      </c>
      <c r="BD6" s="1">
        <f>(X6*3.3)+X6</f>
        <v>0.43000000000000005</v>
      </c>
      <c r="BE6" s="1">
        <f>(Y6*3.5)+Y6</f>
        <v>0.45000000000000007</v>
      </c>
      <c r="BF6" s="1">
        <f>(Z6*3.7)+Z6</f>
        <v>0.47000000000000008</v>
      </c>
      <c r="BG6" s="1">
        <f>(AA6*3.9)+AA6</f>
        <v>0.49</v>
      </c>
      <c r="BH6" s="1">
        <f>(AB6*4.1)+AB6</f>
        <v>1.5299999999999998</v>
      </c>
      <c r="BI6" s="1">
        <f>(AC6*4.25)+AC6</f>
        <v>1.575</v>
      </c>
      <c r="BJ6" s="1"/>
      <c r="BL6" s="1"/>
    </row>
    <row r="7" spans="1:64" x14ac:dyDescent="0.2">
      <c r="A7" s="1" t="s">
        <v>153</v>
      </c>
      <c r="B7" s="1"/>
      <c r="G7" s="1">
        <v>11.5</v>
      </c>
      <c r="H7" s="1">
        <v>4.3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>
        <v>11.5</v>
      </c>
      <c r="AN7" s="1">
        <f>(H7*0.15)+H7</f>
        <v>4.9449999999999994</v>
      </c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L7" s="1"/>
    </row>
    <row r="8" spans="1:64" x14ac:dyDescent="0.2">
      <c r="A8" s="1" t="s">
        <v>1297</v>
      </c>
      <c r="B8" s="1">
        <v>3.5</v>
      </c>
      <c r="C8" s="1">
        <v>2.8</v>
      </c>
      <c r="D8" s="1">
        <v>3.9</v>
      </c>
      <c r="E8" s="1">
        <v>5.9</v>
      </c>
      <c r="F8" s="1">
        <v>5.6</v>
      </c>
      <c r="G8" s="1">
        <v>7.1</v>
      </c>
      <c r="H8" s="1">
        <v>8.4</v>
      </c>
      <c r="AC8" s="1"/>
      <c r="AD8" s="1"/>
      <c r="AE8" s="1"/>
      <c r="AF8" s="1"/>
      <c r="AG8" s="1"/>
      <c r="AH8" s="1">
        <v>3.5</v>
      </c>
      <c r="AI8" s="1">
        <f t="shared" si="0"/>
        <v>3.0799999999999996</v>
      </c>
      <c r="AJ8" s="1">
        <f t="shared" ref="AJ8" si="30">(D8*0.3)+D8</f>
        <v>5.07</v>
      </c>
      <c r="AK8" s="1">
        <f t="shared" ref="AK8" si="31">(E8*0.5)+E8</f>
        <v>8.8500000000000014</v>
      </c>
      <c r="AL8" s="1">
        <f t="shared" ref="AL8" si="32">(F8*0.65)+F8</f>
        <v>9.2399999999999984</v>
      </c>
      <c r="AM8" s="1">
        <f t="shared" ref="AM8" si="33">(G8*0.85)+G8</f>
        <v>13.134999999999998</v>
      </c>
      <c r="AN8" s="1">
        <f t="shared" ref="AN8" si="34">(H8*1)+H8</f>
        <v>16.8</v>
      </c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L8" s="1"/>
    </row>
    <row r="9" spans="1:64" x14ac:dyDescent="0.2">
      <c r="A9" s="1" t="s">
        <v>447</v>
      </c>
      <c r="B9" s="1"/>
      <c r="G9" s="1"/>
      <c r="H9" s="1">
        <v>3.2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>
        <v>3.2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L9" s="1"/>
    </row>
    <row r="10" spans="1:64" x14ac:dyDescent="0.2">
      <c r="A10" s="1" t="s">
        <v>1295</v>
      </c>
      <c r="B10" s="1"/>
      <c r="G10" s="1"/>
      <c r="H10" s="1"/>
      <c r="L10" s="1">
        <v>2.2000000000000002</v>
      </c>
      <c r="M10" s="1">
        <v>2</v>
      </c>
      <c r="N10" s="1">
        <v>3.5</v>
      </c>
      <c r="O10" s="1">
        <v>6.7</v>
      </c>
      <c r="P10" s="1">
        <v>9.8000000000000007</v>
      </c>
      <c r="Q10" s="1">
        <v>11.1</v>
      </c>
      <c r="R10" s="1">
        <v>10.199999999999999</v>
      </c>
      <c r="S10" s="1">
        <v>10</v>
      </c>
      <c r="T10" s="1">
        <v>7</v>
      </c>
      <c r="U10" s="1">
        <v>9.8000000000000007</v>
      </c>
      <c r="V10" s="1">
        <v>7.9</v>
      </c>
      <c r="W10" s="1">
        <v>8.1</v>
      </c>
      <c r="X10" s="1">
        <v>5.9</v>
      </c>
      <c r="Y10" s="1">
        <v>4.7</v>
      </c>
      <c r="Z10" s="1">
        <v>5.6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v>2.2000000000000002</v>
      </c>
      <c r="AS10" s="1">
        <f>(M10*0.2)+M10</f>
        <v>2.4</v>
      </c>
      <c r="AT10" s="1">
        <f>(N10*0.35)+N10</f>
        <v>4.7249999999999996</v>
      </c>
      <c r="AU10" s="1">
        <f>(O10*0.55)+O10</f>
        <v>10.385000000000002</v>
      </c>
      <c r="AV10" s="1">
        <f>(P10*0.7)+P10</f>
        <v>16.66</v>
      </c>
      <c r="AW10" s="1">
        <f>(Q10*0.85)+Q10</f>
        <v>20.534999999999997</v>
      </c>
      <c r="AX10" s="1">
        <f>(R10*1)+R10</f>
        <v>20.399999999999999</v>
      </c>
      <c r="AY10" s="1">
        <f>(S10*1.15)+S10</f>
        <v>21.5</v>
      </c>
      <c r="AZ10" s="1">
        <f>(T10*1.2)+T10</f>
        <v>15.4</v>
      </c>
      <c r="BA10" s="1">
        <f>(U10*1.35)+U10</f>
        <v>23.03</v>
      </c>
      <c r="BB10" s="1">
        <f>(V10*1.55)+V10</f>
        <v>20.145000000000003</v>
      </c>
      <c r="BC10" s="1">
        <f>(W10*1.65)+W10</f>
        <v>21.464999999999996</v>
      </c>
      <c r="BD10" s="1">
        <f>(X10*1.85)+X10</f>
        <v>16.815000000000001</v>
      </c>
      <c r="BE10" s="1">
        <f>(Y10*2.05)+Y10</f>
        <v>14.335000000000001</v>
      </c>
      <c r="BF10" s="1">
        <f>(Z10*2.25)+Z10</f>
        <v>18.2</v>
      </c>
      <c r="BG10" s="1"/>
      <c r="BH10" s="1"/>
      <c r="BI10" s="1"/>
      <c r="BJ10" s="1"/>
      <c r="BL10" s="1"/>
    </row>
    <row r="11" spans="1:64" x14ac:dyDescent="0.2">
      <c r="A11" s="8" t="s">
        <v>1304</v>
      </c>
      <c r="B11" s="1"/>
      <c r="G11" s="1"/>
      <c r="H11" s="1"/>
      <c r="L11" s="1"/>
      <c r="M11" s="1"/>
      <c r="N11" s="1"/>
      <c r="O11" s="1">
        <v>1.3</v>
      </c>
      <c r="P11" s="1">
        <v>2.9</v>
      </c>
      <c r="Q11" s="1">
        <v>5.4</v>
      </c>
      <c r="R11" s="1">
        <v>5.7</v>
      </c>
      <c r="S11" s="1">
        <v>4.7</v>
      </c>
      <c r="T11" s="1">
        <v>4.7</v>
      </c>
      <c r="U11" s="1">
        <v>4.2</v>
      </c>
      <c r="V11" s="1">
        <v>1.2</v>
      </c>
      <c r="W11" s="1">
        <v>1.2</v>
      </c>
      <c r="X11" s="1">
        <v>1.5</v>
      </c>
      <c r="AC11" s="1"/>
      <c r="AD11" s="3">
        <v>1.8</v>
      </c>
      <c r="AE11" s="1">
        <v>2.2000000000000002</v>
      </c>
      <c r="AF11" s="1">
        <v>1.2</v>
      </c>
      <c r="AG11" s="8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>
        <v>1.3</v>
      </c>
      <c r="AV11" s="1">
        <f>(P11*0.15)+P11</f>
        <v>3.335</v>
      </c>
      <c r="AW11" s="1">
        <f>(Q11*0.3)+Q11</f>
        <v>7.0200000000000005</v>
      </c>
      <c r="AX11" s="1">
        <f>(R11*0.45)+R11</f>
        <v>8.2650000000000006</v>
      </c>
      <c r="AY11" s="1">
        <f>(S11*0.6)+S11</f>
        <v>7.52</v>
      </c>
      <c r="AZ11" s="1">
        <f>(T11*0.65)+T11</f>
        <v>7.7550000000000008</v>
      </c>
      <c r="BA11" s="1">
        <f>(U11*0.8)+U11</f>
        <v>7.5600000000000005</v>
      </c>
      <c r="BB11" s="1">
        <f>(V11*1)+V11</f>
        <v>2.4</v>
      </c>
      <c r="BC11" s="1">
        <f>(W11*1.1)+W11</f>
        <v>2.52</v>
      </c>
      <c r="BD11" s="1">
        <f>(X11*1.3)+X11</f>
        <v>3.45</v>
      </c>
      <c r="BE11" s="1"/>
      <c r="BF11" s="1"/>
      <c r="BG11" s="1"/>
      <c r="BH11" s="1"/>
      <c r="BI11" s="1"/>
      <c r="BJ11" s="1">
        <f>(AD11*2.45)+AD11</f>
        <v>6.21</v>
      </c>
      <c r="BK11" s="1">
        <f>(AE11*2.7)+AE11</f>
        <v>8.14</v>
      </c>
      <c r="BL11" s="1">
        <f>(AF11*2.95)+AF11</f>
        <v>4.74</v>
      </c>
    </row>
    <row r="12" spans="1:64" x14ac:dyDescent="0.2">
      <c r="A12" s="1" t="s">
        <v>403</v>
      </c>
      <c r="B12" s="1"/>
      <c r="G12" s="1"/>
      <c r="H12" s="1"/>
      <c r="L12" s="1"/>
      <c r="M12" s="1"/>
      <c r="N12" s="1"/>
      <c r="O12" s="1"/>
      <c r="P12" s="1">
        <v>2.9</v>
      </c>
      <c r="Q12" s="1">
        <v>5.8</v>
      </c>
      <c r="R12" s="1">
        <v>5.0999999999999996</v>
      </c>
      <c r="S12" s="1">
        <v>2.4</v>
      </c>
      <c r="T12" s="1">
        <v>2.2999999999999998</v>
      </c>
      <c r="V12" s="28"/>
      <c r="W12" s="3">
        <v>0.2</v>
      </c>
      <c r="X12" s="1">
        <v>0.1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>
        <v>2.9</v>
      </c>
      <c r="AW12" s="1">
        <f>(Q12*0.15)+Q12</f>
        <v>6.67</v>
      </c>
      <c r="AX12" s="1">
        <f>(R12*0.3)+R12</f>
        <v>6.629999999999999</v>
      </c>
      <c r="AY12" s="1">
        <f>(S12*0.45)+S12</f>
        <v>3.48</v>
      </c>
      <c r="AZ12" s="1">
        <f>(T12*0.5)+T12</f>
        <v>3.4499999999999997</v>
      </c>
      <c r="BA12" s="1"/>
      <c r="BB12" s="1"/>
      <c r="BC12" s="1">
        <f>(W12*0.95)+W12</f>
        <v>0.39</v>
      </c>
      <c r="BD12" s="1">
        <f>(X12*1.15)+X12</f>
        <v>0.215</v>
      </c>
      <c r="BE12" s="1"/>
      <c r="BF12" s="1"/>
      <c r="BG12" s="1"/>
      <c r="BH12" s="1"/>
      <c r="BI12" s="1"/>
      <c r="BJ12" s="1"/>
      <c r="BL12" s="1"/>
    </row>
    <row r="13" spans="1:64" x14ac:dyDescent="0.2">
      <c r="A13" s="1" t="s">
        <v>404</v>
      </c>
      <c r="B13" s="1"/>
      <c r="G13" s="1"/>
      <c r="H13" s="1"/>
      <c r="L13" s="1"/>
      <c r="M13" s="1"/>
      <c r="N13" s="1"/>
      <c r="O13" s="1"/>
      <c r="P13" s="1"/>
      <c r="Q13" s="1">
        <v>5.2</v>
      </c>
      <c r="R13" s="1">
        <v>0.4</v>
      </c>
      <c r="S13" s="1">
        <v>3.3</v>
      </c>
      <c r="T13" s="1">
        <v>4.5999999999999996</v>
      </c>
      <c r="U13" s="1">
        <v>8</v>
      </c>
      <c r="V13" s="1">
        <v>10.199999999999999</v>
      </c>
      <c r="W13" s="1">
        <v>9.4</v>
      </c>
      <c r="X13" s="1">
        <v>8.1</v>
      </c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>
        <v>5.2</v>
      </c>
      <c r="AX13" s="1">
        <f>(R13*0.15)+R13</f>
        <v>0.46</v>
      </c>
      <c r="AY13" s="1">
        <f>(S13*0.3)+S13</f>
        <v>4.29</v>
      </c>
      <c r="AZ13" s="1">
        <f>(T13*0.4)+T13</f>
        <v>6.4399999999999995</v>
      </c>
      <c r="BA13" s="1">
        <f>(U13*0.55)+U13</f>
        <v>12.4</v>
      </c>
      <c r="BB13" s="1">
        <f>(V13*0.75)+V13</f>
        <v>17.849999999999998</v>
      </c>
      <c r="BC13" s="1">
        <f>(W13*0.85)+W13</f>
        <v>17.39</v>
      </c>
      <c r="BD13" s="1">
        <f>(X13*1.05)+X13</f>
        <v>16.605</v>
      </c>
      <c r="BE13" s="1"/>
      <c r="BF13" s="1"/>
      <c r="BG13" s="1"/>
      <c r="BH13" s="1"/>
      <c r="BI13" s="1"/>
      <c r="BJ13" s="1"/>
      <c r="BL13" s="1"/>
    </row>
    <row r="14" spans="1:64" x14ac:dyDescent="0.2">
      <c r="A14" s="1" t="s">
        <v>1303</v>
      </c>
      <c r="B14" s="3"/>
      <c r="G14" s="1"/>
      <c r="H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>
        <v>10.3</v>
      </c>
      <c r="Z14" s="1">
        <v>10.1</v>
      </c>
      <c r="AA14" s="1">
        <v>11.4</v>
      </c>
      <c r="AB14" s="1">
        <v>12.5</v>
      </c>
      <c r="AC14" s="1">
        <v>9.3000000000000007</v>
      </c>
      <c r="AD14" s="1">
        <v>9.6</v>
      </c>
      <c r="AE14" s="1">
        <v>7.6</v>
      </c>
      <c r="AF14" s="1">
        <v>10.3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>
        <v>10.3</v>
      </c>
      <c r="BF14" s="1">
        <f>(Z14*0.2)+Z14</f>
        <v>12.12</v>
      </c>
      <c r="BG14" s="1">
        <f>(AA14*0.4)+AA14</f>
        <v>15.96</v>
      </c>
      <c r="BH14" s="1">
        <f>(AB14*0.6)+AB14</f>
        <v>20</v>
      </c>
      <c r="BI14" s="1">
        <f>(AC14*0.75)+AC14</f>
        <v>16.275000000000002</v>
      </c>
      <c r="BJ14" s="1">
        <f>(AD14*0.95)+AD14</f>
        <v>18.72</v>
      </c>
      <c r="BK14" s="1">
        <f>(AE14*1.2)+AE14</f>
        <v>16.72</v>
      </c>
      <c r="BL14" s="1">
        <f>(AF14*1.45)+AF14</f>
        <v>25.234999999999999</v>
      </c>
    </row>
    <row r="15" spans="1:64" x14ac:dyDescent="0.2">
      <c r="A15" s="1" t="s">
        <v>1302</v>
      </c>
      <c r="B15" s="1"/>
      <c r="G15" s="1"/>
      <c r="H15" s="1"/>
      <c r="L15" s="1"/>
      <c r="M15" s="1"/>
      <c r="N15" s="1"/>
      <c r="O15" s="1"/>
      <c r="Q15" s="1">
        <v>11.7</v>
      </c>
      <c r="R15" s="1">
        <v>9.1</v>
      </c>
      <c r="S15" s="1">
        <v>7.3</v>
      </c>
      <c r="T15" s="1">
        <v>10.1</v>
      </c>
      <c r="U15" s="1">
        <v>6.5</v>
      </c>
      <c r="V15" s="1">
        <v>8</v>
      </c>
      <c r="W15" s="1">
        <v>8</v>
      </c>
      <c r="X15" s="1">
        <v>7.7</v>
      </c>
      <c r="Y15" s="1">
        <v>7.7</v>
      </c>
      <c r="Z15" s="1">
        <v>5.9</v>
      </c>
      <c r="AA15" s="1">
        <v>5.5</v>
      </c>
      <c r="AB15" s="1">
        <v>6.1</v>
      </c>
      <c r="AC15" s="1">
        <v>5.5</v>
      </c>
      <c r="AD15" s="1">
        <v>5</v>
      </c>
      <c r="AE15" s="1">
        <v>3.7</v>
      </c>
      <c r="AF15" s="1">
        <v>6.8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>
        <v>11.7</v>
      </c>
      <c r="AX15" s="1">
        <f>(R15*0.15)+R15</f>
        <v>10.465</v>
      </c>
      <c r="AY15" s="1">
        <f>(S15*0.3)+S15</f>
        <v>9.49</v>
      </c>
      <c r="AZ15" s="1">
        <f>(T15*0.4)+T15</f>
        <v>14.14</v>
      </c>
      <c r="BA15" s="1">
        <f>(U15*0.55)+U15</f>
        <v>10.074999999999999</v>
      </c>
      <c r="BB15" s="1">
        <f>(V15*0.75)+V15</f>
        <v>14</v>
      </c>
      <c r="BC15" s="1">
        <f>(W15*0.85)+W15</f>
        <v>14.8</v>
      </c>
      <c r="BD15" s="1">
        <f>(X15*1.05)+X15</f>
        <v>15.785</v>
      </c>
      <c r="BE15" s="1">
        <f>(Y15*1.25)+Y15</f>
        <v>17.324999999999999</v>
      </c>
      <c r="BF15" s="1">
        <f>(Z15*1.45)+Z15</f>
        <v>14.455</v>
      </c>
      <c r="BG15" s="1">
        <f>(AA15*1.65)+AA15</f>
        <v>14.574999999999999</v>
      </c>
      <c r="BH15" s="1">
        <f>(AB15*1.85)+AB15</f>
        <v>17.384999999999998</v>
      </c>
      <c r="BI15" s="1">
        <f>(AC15*2)+AC15</f>
        <v>16.5</v>
      </c>
      <c r="BJ15" s="1">
        <f>(AD15*2.2)+AD15</f>
        <v>16</v>
      </c>
      <c r="BK15" s="1">
        <f>(AE15*2.45)+AE15</f>
        <v>12.765000000000001</v>
      </c>
      <c r="BL15" s="1">
        <f>(AF15*2.7)+AF15</f>
        <v>25.16</v>
      </c>
    </row>
    <row r="16" spans="1:64" x14ac:dyDescent="0.2">
      <c r="A16" s="1" t="s">
        <v>1305</v>
      </c>
      <c r="B16" s="1"/>
      <c r="G16" s="1"/>
      <c r="H16" s="1"/>
      <c r="L16" s="1"/>
      <c r="M16" s="1"/>
      <c r="N16" s="1"/>
      <c r="O16" s="1"/>
      <c r="P16" s="1">
        <v>4.5999999999999996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>
        <v>4.5999999999999996</v>
      </c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L16" s="1"/>
    </row>
    <row r="17" spans="1:64" ht="16" x14ac:dyDescent="0.2">
      <c r="A17" s="15" t="s">
        <v>449</v>
      </c>
      <c r="B17" s="1"/>
      <c r="G17" s="1"/>
      <c r="H17" s="1"/>
      <c r="L17" s="1"/>
      <c r="M17" s="1"/>
      <c r="N17" s="1"/>
      <c r="O17" s="1"/>
      <c r="P17" s="1"/>
      <c r="Q17" s="1"/>
      <c r="R17" s="1"/>
      <c r="S17" s="1"/>
      <c r="T17" s="1">
        <v>12.4</v>
      </c>
      <c r="U17" s="1">
        <v>12.4</v>
      </c>
      <c r="V17" s="1">
        <v>14.6</v>
      </c>
      <c r="W17" s="1">
        <v>14.9</v>
      </c>
      <c r="X17" s="1">
        <v>12</v>
      </c>
      <c r="Y17" s="1">
        <v>12.6</v>
      </c>
      <c r="Z17" s="1">
        <v>9.6</v>
      </c>
      <c r="AA17" s="1">
        <v>14.9</v>
      </c>
      <c r="AB17" s="1">
        <v>10.3</v>
      </c>
      <c r="AC17" s="1">
        <v>9.1999999999999993</v>
      </c>
      <c r="AD17" s="1">
        <v>8.8000000000000007</v>
      </c>
      <c r="AE17" s="1">
        <v>6.7</v>
      </c>
      <c r="AF17" s="1">
        <v>8.1</v>
      </c>
      <c r="AG17" s="1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>
        <v>12.4</v>
      </c>
      <c r="BA17" s="1">
        <f>(U17*0.15)+U17</f>
        <v>14.26</v>
      </c>
      <c r="BB17" s="1">
        <f>(V17*0.35)+V17</f>
        <v>19.71</v>
      </c>
      <c r="BC17" s="1">
        <f>(W17*0.45)+W17</f>
        <v>21.605</v>
      </c>
      <c r="BD17" s="1">
        <f>(X17*0.65)+X17</f>
        <v>19.8</v>
      </c>
      <c r="BE17" s="1">
        <f>(Y17*0.85)+Y17</f>
        <v>23.31</v>
      </c>
      <c r="BF17" s="1">
        <f>(Z17*1.05)+Z17</f>
        <v>19.68</v>
      </c>
      <c r="BG17" s="1">
        <f>(AA17*1.25)+AA17</f>
        <v>33.524999999999999</v>
      </c>
      <c r="BH17" s="1">
        <f>(AB17*1.45)+AB17</f>
        <v>25.234999999999999</v>
      </c>
      <c r="BI17" s="1">
        <f>(AC17*1.6)+AC17</f>
        <v>23.919999999999998</v>
      </c>
      <c r="BJ17" s="1">
        <f>(AD17*1.8)+AD17</f>
        <v>24.64</v>
      </c>
      <c r="BK17" s="1">
        <f>(AE17*2.05)+AE17</f>
        <v>20.434999999999999</v>
      </c>
      <c r="BL17" s="1">
        <f>(AF17*2.3)+AF17</f>
        <v>26.729999999999997</v>
      </c>
    </row>
    <row r="18" spans="1:64" x14ac:dyDescent="0.2">
      <c r="A18" s="1" t="s">
        <v>1300</v>
      </c>
      <c r="B18" s="1"/>
      <c r="G18" s="1"/>
      <c r="H18" s="1"/>
      <c r="L18" s="1"/>
      <c r="M18" s="1"/>
      <c r="N18" s="1"/>
      <c r="O18" s="1"/>
      <c r="P18" s="1"/>
      <c r="Q18" s="1"/>
      <c r="R18" s="1"/>
      <c r="S18" s="1">
        <v>0</v>
      </c>
      <c r="T18" s="1">
        <v>0.1</v>
      </c>
      <c r="U18" s="1">
        <v>2.2999999999999998</v>
      </c>
      <c r="V18" s="1">
        <v>3.7</v>
      </c>
      <c r="W18" s="1">
        <v>4.5</v>
      </c>
      <c r="X18" s="1">
        <v>4.9000000000000004</v>
      </c>
      <c r="Y18" s="1">
        <v>4.4000000000000004</v>
      </c>
      <c r="Z18" s="1">
        <v>7</v>
      </c>
      <c r="AA18" s="1">
        <v>2.5</v>
      </c>
      <c r="AB18" s="1">
        <v>4</v>
      </c>
      <c r="AC18" s="1">
        <v>4.4000000000000004</v>
      </c>
      <c r="AD18" s="1">
        <v>5.3</v>
      </c>
      <c r="AE18" s="1">
        <v>6.1</v>
      </c>
      <c r="AF18" s="1">
        <v>4.7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>
        <v>0</v>
      </c>
      <c r="AZ18" s="1">
        <f>(T18*0.05)+T18</f>
        <v>0.10500000000000001</v>
      </c>
      <c r="BA18" s="1">
        <f>(U18*0.2)+U18</f>
        <v>2.76</v>
      </c>
      <c r="BB18" s="1">
        <f>(V18*0.4)+V18</f>
        <v>5.1800000000000006</v>
      </c>
      <c r="BC18" s="1">
        <f>(W18*0.5)+W18</f>
        <v>6.75</v>
      </c>
      <c r="BD18" s="1">
        <f>(X18*0.7)+X18</f>
        <v>8.33</v>
      </c>
      <c r="BE18" s="1">
        <f>(Y18*0.9)+Y18</f>
        <v>8.3600000000000012</v>
      </c>
      <c r="BF18" s="1">
        <f>(Z18*1.1)+Z18</f>
        <v>14.700000000000001</v>
      </c>
      <c r="BG18" s="1">
        <f>(AA18*1.3)+AA18</f>
        <v>5.75</v>
      </c>
      <c r="BH18" s="1">
        <f>(AB18*1.5)+AB18</f>
        <v>10</v>
      </c>
      <c r="BI18" s="1">
        <f>(AC18*1.65)+AC18</f>
        <v>11.66</v>
      </c>
      <c r="BJ18" s="1">
        <f>(AD18*1.85)+AD18</f>
        <v>15.105</v>
      </c>
      <c r="BK18" s="1">
        <f>(AE18*2.1)+AE18</f>
        <v>18.91</v>
      </c>
      <c r="BL18" s="1">
        <f>(AF18*2.35)+AF18</f>
        <v>15.745000000000001</v>
      </c>
    </row>
    <row r="19" spans="1:64" x14ac:dyDescent="0.2">
      <c r="A19" s="1" t="s">
        <v>406</v>
      </c>
      <c r="B19" s="1"/>
      <c r="G19" s="1"/>
      <c r="H19" s="1"/>
      <c r="L19" s="1"/>
      <c r="M19" s="1"/>
      <c r="N19" s="1"/>
      <c r="O19" s="1"/>
      <c r="P19" s="1"/>
      <c r="Q19" s="1"/>
      <c r="R19" s="1"/>
      <c r="S19" s="1"/>
      <c r="T19" s="1"/>
      <c r="U19" s="1">
        <v>2.2000000000000002</v>
      </c>
      <c r="V19" s="1">
        <v>2.5</v>
      </c>
      <c r="W19" s="1">
        <v>2.6</v>
      </c>
      <c r="X19" s="1">
        <v>5.0999999999999996</v>
      </c>
      <c r="Y19" s="1">
        <v>4</v>
      </c>
      <c r="Z19" s="1">
        <v>7.4</v>
      </c>
      <c r="AA19" s="1">
        <v>3.1</v>
      </c>
      <c r="AB19" s="1">
        <v>5.0999999999999996</v>
      </c>
      <c r="AC19" s="1">
        <v>4.8</v>
      </c>
      <c r="AD19" s="1">
        <v>3.3</v>
      </c>
      <c r="AE19" s="1">
        <v>6.1</v>
      </c>
      <c r="AF19" s="1">
        <v>2.9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>
        <v>2.2000000000000002</v>
      </c>
      <c r="BB19" s="1">
        <f>(V19*0.2)+V19</f>
        <v>3</v>
      </c>
      <c r="BC19" s="1">
        <f>(W19*0.3)+W19</f>
        <v>3.38</v>
      </c>
      <c r="BD19" s="1">
        <f>(X19*0.5)+X19</f>
        <v>7.6499999999999995</v>
      </c>
      <c r="BE19" s="1">
        <f>(Y19*0.7)+Y19</f>
        <v>6.8</v>
      </c>
      <c r="BF19" s="1">
        <f>(Z19*0.9)+Z19</f>
        <v>14.06</v>
      </c>
      <c r="BG19" s="1">
        <f>(AA19*1.1)+AA19</f>
        <v>6.5100000000000007</v>
      </c>
      <c r="BH19" s="1">
        <f>(AB19*1.3)+AB19</f>
        <v>11.73</v>
      </c>
      <c r="BI19" s="1">
        <f>(AC19*1.45)+AC19</f>
        <v>11.76</v>
      </c>
      <c r="BJ19" s="1">
        <f>(AD19*1.65)+AD19</f>
        <v>8.7449999999999992</v>
      </c>
      <c r="BK19" s="1">
        <f>(AE19*1.9)+AE19</f>
        <v>17.689999999999998</v>
      </c>
      <c r="BL19" s="1">
        <f>(AF19*2.15)+AF19</f>
        <v>9.1349999999999998</v>
      </c>
    </row>
    <row r="20" spans="1:64" x14ac:dyDescent="0.2">
      <c r="A20" s="1" t="s">
        <v>405</v>
      </c>
      <c r="B20" s="1"/>
      <c r="G20" s="1"/>
      <c r="H20" s="1"/>
      <c r="L20" s="1"/>
      <c r="M20" s="1"/>
      <c r="N20" s="1"/>
      <c r="O20" s="1"/>
      <c r="P20" s="1"/>
      <c r="Q20" s="1"/>
      <c r="R20" s="1"/>
      <c r="S20" s="1"/>
      <c r="T20" s="1">
        <v>1.4</v>
      </c>
      <c r="U20" s="1">
        <v>1.1000000000000001</v>
      </c>
      <c r="V20" s="1">
        <v>1.4</v>
      </c>
      <c r="W20" s="1">
        <v>1.9</v>
      </c>
      <c r="X20" s="1">
        <v>6.6</v>
      </c>
      <c r="Y20" s="1">
        <v>7.8</v>
      </c>
      <c r="Z20" s="1">
        <v>9.9</v>
      </c>
      <c r="AA20" s="1">
        <v>11.6</v>
      </c>
      <c r="AB20" s="1">
        <v>12</v>
      </c>
      <c r="AC20" s="1">
        <v>7.8</v>
      </c>
      <c r="AD20" s="1">
        <v>3.7</v>
      </c>
      <c r="AE20" s="1">
        <v>12</v>
      </c>
      <c r="AF20" s="1">
        <v>13.8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>
        <v>1.4</v>
      </c>
      <c r="BA20" s="1">
        <f>(U20*0.15)+U20</f>
        <v>1.2650000000000001</v>
      </c>
      <c r="BB20" s="1">
        <f>(V20*0.35)+V20</f>
        <v>1.89</v>
      </c>
      <c r="BC20" s="1">
        <f>(W20*0.45)+W20</f>
        <v>2.7549999999999999</v>
      </c>
      <c r="BD20" s="1">
        <f>(X20*0.65)+X20</f>
        <v>10.89</v>
      </c>
      <c r="BE20" s="1">
        <f>(Y20*0.95)+Y20</f>
        <v>15.209999999999999</v>
      </c>
      <c r="BF20" s="1">
        <f>(Z20*1.15)+Z20</f>
        <v>21.285</v>
      </c>
      <c r="BG20" s="1">
        <f>(AA20*1.35)+AA20</f>
        <v>27.259999999999998</v>
      </c>
      <c r="BH20" s="1">
        <f>(AB20*1.55)+AB20</f>
        <v>30.6</v>
      </c>
      <c r="BI20" s="1">
        <f>(AC20*1.7)+AC20</f>
        <v>21.06</v>
      </c>
      <c r="BJ20" s="1">
        <f>(AD20*1.9)+AD20</f>
        <v>10.73</v>
      </c>
      <c r="BK20" s="1">
        <f>(AE20*2.15)+AE20</f>
        <v>37.799999999999997</v>
      </c>
      <c r="BL20" s="1">
        <f>(AF20*2.4)+AF20</f>
        <v>46.92</v>
      </c>
    </row>
    <row r="21" spans="1:64" x14ac:dyDescent="0.2">
      <c r="A21" s="1" t="s">
        <v>450</v>
      </c>
      <c r="B21" s="1"/>
      <c r="G21" s="1"/>
      <c r="H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>
        <v>3.2</v>
      </c>
      <c r="Y21" s="1"/>
      <c r="Z21" s="1"/>
      <c r="AA21" s="1"/>
      <c r="AB21" s="1"/>
      <c r="AC21" s="1"/>
      <c r="AD21" s="3">
        <v>0.2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>
        <v>3.2</v>
      </c>
      <c r="BE21" s="1"/>
      <c r="BF21" s="1"/>
      <c r="BG21" s="1"/>
      <c r="BH21" s="1"/>
      <c r="BI21" s="1"/>
      <c r="BJ21" s="1">
        <f>(AD21*1.15)+AD21</f>
        <v>0.43</v>
      </c>
      <c r="BK21" s="1"/>
      <c r="BL21" s="1"/>
    </row>
    <row r="22" spans="1:64" x14ac:dyDescent="0.2">
      <c r="A22" s="1" t="s">
        <v>407</v>
      </c>
      <c r="B22" s="1"/>
      <c r="G22" s="1"/>
      <c r="H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>
        <v>3.1</v>
      </c>
      <c r="AB22" s="1"/>
      <c r="AC22" s="3">
        <v>17.399999999999999</v>
      </c>
      <c r="AD22" s="1">
        <v>20.3</v>
      </c>
      <c r="AE22" s="1">
        <v>16</v>
      </c>
      <c r="AF22" s="1">
        <v>16.7</v>
      </c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>
        <v>3.1</v>
      </c>
      <c r="BH22" s="1"/>
      <c r="BI22" s="1">
        <f>(AC22*0.35)+AC22</f>
        <v>23.49</v>
      </c>
      <c r="BJ22" s="1">
        <f>(AD22*0.55)+AD22</f>
        <v>31.465000000000003</v>
      </c>
      <c r="BK22" s="1">
        <f>(AE22*0.8)+AE22</f>
        <v>28.8</v>
      </c>
      <c r="BL22" s="1">
        <f>(AF22*1.05)+AF22</f>
        <v>34.234999999999999</v>
      </c>
    </row>
    <row r="23" spans="1:64" x14ac:dyDescent="0.2">
      <c r="A23" s="1" t="s">
        <v>409</v>
      </c>
      <c r="B23" s="1"/>
      <c r="G23" s="1"/>
      <c r="H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>
        <v>0.5</v>
      </c>
      <c r="Y23" s="1">
        <v>0.3</v>
      </c>
      <c r="Z23" s="1">
        <v>0.5</v>
      </c>
      <c r="AA23" s="1">
        <v>0.2</v>
      </c>
      <c r="AB23" s="1">
        <v>0.8</v>
      </c>
      <c r="AC23" s="1">
        <v>1.6</v>
      </c>
      <c r="AD23" s="1">
        <v>3.7</v>
      </c>
      <c r="AE23" s="1">
        <v>8.6</v>
      </c>
      <c r="AF23" s="1">
        <v>9.9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>
        <v>0.5</v>
      </c>
      <c r="BE23" s="1">
        <f>(Y23*0.2)+Y23</f>
        <v>0.36</v>
      </c>
      <c r="BF23" s="1">
        <f>(Z23*0.4)+Z23</f>
        <v>0.7</v>
      </c>
      <c r="BG23" s="1">
        <f>(AA23*0.6)+AA23</f>
        <v>0.32</v>
      </c>
      <c r="BH23" s="1">
        <f>(AB23*0.8)+AB23</f>
        <v>1.4400000000000002</v>
      </c>
      <c r="BI23" s="1">
        <f>(AC23*0.95)+AC23</f>
        <v>3.12</v>
      </c>
      <c r="BJ23" s="1">
        <f>(AD23*1.15)+AD23</f>
        <v>7.9550000000000001</v>
      </c>
      <c r="BK23" s="1">
        <f>(AE23*1.4)+AE23</f>
        <v>20.64</v>
      </c>
      <c r="BL23" s="1">
        <f>(AF23*1.65)+AF23</f>
        <v>26.234999999999999</v>
      </c>
    </row>
    <row r="24" spans="1:64" x14ac:dyDescent="0.2">
      <c r="A24" s="1" t="s">
        <v>408</v>
      </c>
      <c r="B24" s="1"/>
      <c r="G24" s="1"/>
      <c r="H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>
        <v>4</v>
      </c>
      <c r="AC24" s="1">
        <v>2.2999999999999998</v>
      </c>
      <c r="AD24" s="1">
        <v>0.4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>
        <v>4</v>
      </c>
      <c r="BI24" s="1">
        <f>(AC24*0.15)+AC24</f>
        <v>2.6449999999999996</v>
      </c>
      <c r="BJ24" s="1">
        <f>(AD24*0.35)+AD24</f>
        <v>0.54</v>
      </c>
      <c r="BK24" s="1"/>
      <c r="BL24" s="1"/>
    </row>
    <row r="25" spans="1:64" x14ac:dyDescent="0.2">
      <c r="AD25" s="1"/>
      <c r="AG25" s="3" t="s">
        <v>14</v>
      </c>
      <c r="AH25" s="1">
        <f>SUM(AH2:AH24)</f>
        <v>95.300000000000011</v>
      </c>
      <c r="AI25" s="1">
        <f t="shared" ref="AI25:BL25" si="35">SUM(AI2:AI24)</f>
        <v>109.88999999999999</v>
      </c>
      <c r="AJ25" s="1">
        <f t="shared" si="35"/>
        <v>127.05000000000001</v>
      </c>
      <c r="AK25" s="1">
        <f t="shared" si="35"/>
        <v>148.53</v>
      </c>
      <c r="AL25" s="1">
        <f t="shared" si="35"/>
        <v>161.35500000000002</v>
      </c>
      <c r="AM25" s="1">
        <f t="shared" si="35"/>
        <v>169.32499999999999</v>
      </c>
      <c r="AN25" s="1">
        <f t="shared" si="35"/>
        <v>186.935</v>
      </c>
      <c r="AO25" s="1">
        <f t="shared" si="35"/>
        <v>221.08499999999998</v>
      </c>
      <c r="AP25" s="1">
        <f t="shared" si="35"/>
        <v>238.25</v>
      </c>
      <c r="AQ25" s="1">
        <f t="shared" si="35"/>
        <v>249.22500000000002</v>
      </c>
      <c r="AR25" s="1">
        <f t="shared" si="35"/>
        <v>260.44499999999999</v>
      </c>
      <c r="AS25" s="1">
        <f t="shared" si="35"/>
        <v>282.96499999999997</v>
      </c>
      <c r="AT25" s="1">
        <f t="shared" si="35"/>
        <v>293.95500000000004</v>
      </c>
      <c r="AU25" s="1">
        <f t="shared" si="35"/>
        <v>304.60499999999996</v>
      </c>
      <c r="AV25" s="1">
        <f t="shared" si="35"/>
        <v>313.2</v>
      </c>
      <c r="AW25" s="1">
        <f t="shared" si="35"/>
        <v>239.58499999999998</v>
      </c>
      <c r="AX25" s="1">
        <f t="shared" si="35"/>
        <v>309.24499999999989</v>
      </c>
      <c r="AY25" s="1">
        <f t="shared" si="35"/>
        <v>305.09000000000003</v>
      </c>
      <c r="AZ25" s="1">
        <f t="shared" si="35"/>
        <v>266.68499999999995</v>
      </c>
      <c r="BA25" s="1">
        <f t="shared" si="35"/>
        <v>264.33</v>
      </c>
      <c r="BB25" s="1">
        <f t="shared" si="35"/>
        <v>286.34500000000003</v>
      </c>
      <c r="BC25" s="1">
        <f t="shared" si="35"/>
        <v>299.375</v>
      </c>
      <c r="BD25" s="1">
        <f t="shared" si="35"/>
        <v>298.24999999999989</v>
      </c>
      <c r="BE25" s="1">
        <f t="shared" si="35"/>
        <v>299.01</v>
      </c>
      <c r="BF25" s="1">
        <f t="shared" si="35"/>
        <v>308.67</v>
      </c>
      <c r="BG25" s="1">
        <f t="shared" si="35"/>
        <v>324.33</v>
      </c>
      <c r="BH25" s="1">
        <f t="shared" si="35"/>
        <v>344.40000000000009</v>
      </c>
      <c r="BI25" s="1">
        <f t="shared" si="35"/>
        <v>316.26499999999999</v>
      </c>
      <c r="BJ25" s="1">
        <f t="shared" si="35"/>
        <v>330.86500000000001</v>
      </c>
      <c r="BK25" s="1">
        <f t="shared" si="35"/>
        <v>343.30000000000007</v>
      </c>
      <c r="BL25" s="1">
        <f t="shared" si="35"/>
        <v>348.51000000000005</v>
      </c>
    </row>
    <row r="27" spans="1:64" ht="16" x14ac:dyDescent="0.2">
      <c r="A27" s="15"/>
      <c r="B27" s="16"/>
      <c r="AH27" s="1">
        <v>100</v>
      </c>
      <c r="AI27" s="1">
        <v>110</v>
      </c>
      <c r="AJ27" s="1">
        <v>130</v>
      </c>
      <c r="AK27" s="1">
        <v>150</v>
      </c>
      <c r="AL27" s="1">
        <v>165</v>
      </c>
      <c r="AM27" s="1">
        <v>185</v>
      </c>
      <c r="AN27" s="1">
        <v>200</v>
      </c>
      <c r="AO27" s="1">
        <v>235</v>
      </c>
      <c r="AP27" s="1">
        <v>250</v>
      </c>
      <c r="AQ27" s="1">
        <v>255</v>
      </c>
      <c r="AR27" s="1">
        <v>275</v>
      </c>
      <c r="AS27" s="1">
        <v>295</v>
      </c>
      <c r="AT27" s="1">
        <v>310</v>
      </c>
      <c r="AU27" s="1">
        <v>330</v>
      </c>
      <c r="AV27" s="1">
        <v>345</v>
      </c>
      <c r="AW27" s="1">
        <v>360</v>
      </c>
      <c r="AX27" s="1">
        <v>375</v>
      </c>
      <c r="AY27" s="1">
        <v>390</v>
      </c>
      <c r="AZ27" s="1">
        <v>395</v>
      </c>
      <c r="BA27" s="1">
        <v>410</v>
      </c>
      <c r="BB27" s="1">
        <v>430</v>
      </c>
      <c r="BC27" s="1">
        <v>440</v>
      </c>
      <c r="BD27" s="1">
        <v>460</v>
      </c>
      <c r="BE27" s="1">
        <v>480</v>
      </c>
      <c r="BF27" s="1">
        <v>500</v>
      </c>
      <c r="BG27" s="1">
        <v>520</v>
      </c>
      <c r="BH27" s="1">
        <v>540</v>
      </c>
      <c r="BI27" s="1">
        <v>555</v>
      </c>
      <c r="BJ27" s="1">
        <v>575</v>
      </c>
      <c r="BK27" s="1">
        <v>600</v>
      </c>
      <c r="BL27" s="1">
        <v>625</v>
      </c>
    </row>
    <row r="28" spans="1:64" ht="16" x14ac:dyDescent="0.2">
      <c r="A28" s="15"/>
      <c r="B28" s="16"/>
    </row>
    <row r="29" spans="1:64" ht="16" x14ac:dyDescent="0.2">
      <c r="A29" s="15"/>
      <c r="B29" s="16"/>
      <c r="AG29" s="3"/>
      <c r="AH29" s="1">
        <f>AH25</f>
        <v>95.300000000000011</v>
      </c>
      <c r="AI29" s="1">
        <f>SUM(AH29+AI25)</f>
        <v>205.19</v>
      </c>
      <c r="AJ29" s="1">
        <f>SUM(AI29+AJ25)</f>
        <v>332.24</v>
      </c>
      <c r="AK29" s="1">
        <f t="shared" ref="AK29:BB29" si="36">SUM(AJ29+AK25)</f>
        <v>480.77</v>
      </c>
      <c r="AL29" s="1">
        <f t="shared" si="36"/>
        <v>642.125</v>
      </c>
      <c r="AM29" s="1">
        <f t="shared" si="36"/>
        <v>811.45</v>
      </c>
      <c r="AN29" s="1">
        <f t="shared" si="36"/>
        <v>998.38499999999999</v>
      </c>
      <c r="AO29" s="1">
        <f t="shared" si="36"/>
        <v>1219.47</v>
      </c>
      <c r="AP29" s="1">
        <f t="shared" si="36"/>
        <v>1457.72</v>
      </c>
      <c r="AQ29" s="1">
        <f t="shared" si="36"/>
        <v>1706.9450000000002</v>
      </c>
      <c r="AR29" s="1">
        <f t="shared" si="36"/>
        <v>1967.39</v>
      </c>
      <c r="AS29" s="1">
        <f t="shared" si="36"/>
        <v>2250.355</v>
      </c>
      <c r="AT29" s="1">
        <f t="shared" si="36"/>
        <v>2544.31</v>
      </c>
      <c r="AU29" s="1">
        <f t="shared" si="36"/>
        <v>2848.915</v>
      </c>
      <c r="AV29" s="1">
        <f t="shared" si="36"/>
        <v>3162.1149999999998</v>
      </c>
      <c r="AW29" s="1">
        <f t="shared" si="36"/>
        <v>3401.7</v>
      </c>
      <c r="AX29" s="1">
        <f t="shared" si="36"/>
        <v>3710.9449999999997</v>
      </c>
      <c r="AY29" s="1">
        <f t="shared" si="36"/>
        <v>4016.0349999999999</v>
      </c>
      <c r="AZ29" s="1">
        <f t="shared" si="36"/>
        <v>4282.7199999999993</v>
      </c>
      <c r="BA29" s="1">
        <f t="shared" si="36"/>
        <v>4547.0499999999993</v>
      </c>
      <c r="BB29" s="1">
        <f t="shared" si="36"/>
        <v>4833.3949999999995</v>
      </c>
      <c r="BC29" s="1">
        <f t="shared" ref="BC29" si="37">SUM(BB29+BC25)</f>
        <v>5132.7699999999995</v>
      </c>
      <c r="BD29" s="1">
        <f t="shared" ref="BD29" si="38">SUM(BC29+BD25)</f>
        <v>5431.0199999999995</v>
      </c>
      <c r="BE29" s="1">
        <f t="shared" ref="BE29" si="39">SUM(BD29+BE25)</f>
        <v>5730.03</v>
      </c>
      <c r="BF29" s="1">
        <f t="shared" ref="BF29" si="40">SUM(BE29+BF25)</f>
        <v>6038.7</v>
      </c>
      <c r="BG29" s="1">
        <f t="shared" ref="BG29" si="41">SUM(BF29+BG25)</f>
        <v>6363.03</v>
      </c>
      <c r="BH29" s="1">
        <f t="shared" ref="BH29" si="42">SUM(BG29+BH25)</f>
        <v>6707.43</v>
      </c>
      <c r="BI29" s="1">
        <f t="shared" ref="BI29" si="43">SUM(BH29+BI25)</f>
        <v>7023.6950000000006</v>
      </c>
      <c r="BJ29" s="1">
        <f t="shared" ref="BJ29:BL29" si="44">SUM(BI29+BJ25)</f>
        <v>7354.56</v>
      </c>
      <c r="BK29" s="1">
        <f t="shared" si="44"/>
        <v>7697.8600000000006</v>
      </c>
      <c r="BL29" s="1">
        <f t="shared" si="44"/>
        <v>8046.3700000000008</v>
      </c>
    </row>
    <row r="30" spans="1:64" ht="16" x14ac:dyDescent="0.2">
      <c r="A30" s="15"/>
      <c r="B30" s="16"/>
      <c r="AG30" s="8"/>
      <c r="AH30" s="3"/>
      <c r="AI30" s="3"/>
      <c r="AJ30" s="3"/>
      <c r="AK30" s="3"/>
      <c r="AL30" s="1"/>
      <c r="AM30" s="1"/>
      <c r="AN30" s="1"/>
      <c r="AO30" s="1"/>
      <c r="AP30" s="1"/>
      <c r="AQ30" s="3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I30" s="1"/>
      <c r="BJ30" s="1"/>
    </row>
    <row r="31" spans="1:64" ht="16" x14ac:dyDescent="0.2">
      <c r="A31" s="15"/>
      <c r="B31" s="16"/>
      <c r="AG31" s="8"/>
      <c r="AH31" s="1">
        <v>100</v>
      </c>
      <c r="AI31" s="1">
        <f>SUM(AH31+AI27)</f>
        <v>210</v>
      </c>
      <c r="AJ31" s="1">
        <f>SUM(AI31+AJ27)</f>
        <v>340</v>
      </c>
      <c r="AK31" s="1">
        <f t="shared" ref="AK31:BB31" si="45">SUM(AJ31+AK27)</f>
        <v>490</v>
      </c>
      <c r="AL31" s="1">
        <f t="shared" si="45"/>
        <v>655</v>
      </c>
      <c r="AM31" s="1">
        <f t="shared" si="45"/>
        <v>840</v>
      </c>
      <c r="AN31" s="1">
        <f t="shared" si="45"/>
        <v>1040</v>
      </c>
      <c r="AO31" s="1">
        <f t="shared" si="45"/>
        <v>1275</v>
      </c>
      <c r="AP31" s="1">
        <f t="shared" si="45"/>
        <v>1525</v>
      </c>
      <c r="AQ31" s="1">
        <f t="shared" si="45"/>
        <v>1780</v>
      </c>
      <c r="AR31" s="1">
        <f t="shared" si="45"/>
        <v>2055</v>
      </c>
      <c r="AS31" s="1">
        <f t="shared" si="45"/>
        <v>2350</v>
      </c>
      <c r="AT31" s="1">
        <f t="shared" si="45"/>
        <v>2660</v>
      </c>
      <c r="AU31" s="1">
        <f t="shared" si="45"/>
        <v>2990</v>
      </c>
      <c r="AV31" s="1">
        <f t="shared" si="45"/>
        <v>3335</v>
      </c>
      <c r="AW31" s="1">
        <f t="shared" si="45"/>
        <v>3695</v>
      </c>
      <c r="AX31" s="1">
        <f t="shared" si="45"/>
        <v>4070</v>
      </c>
      <c r="AY31" s="1">
        <f t="shared" si="45"/>
        <v>4460</v>
      </c>
      <c r="AZ31" s="1">
        <f t="shared" si="45"/>
        <v>4855</v>
      </c>
      <c r="BA31" s="1">
        <f t="shared" si="45"/>
        <v>5265</v>
      </c>
      <c r="BB31" s="1">
        <f t="shared" si="45"/>
        <v>5695</v>
      </c>
      <c r="BC31" s="1">
        <f t="shared" ref="BC31" si="46">SUM(BB31+BC27)</f>
        <v>6135</v>
      </c>
      <c r="BD31" s="1">
        <f t="shared" ref="BD31" si="47">SUM(BC31+BD27)</f>
        <v>6595</v>
      </c>
      <c r="BE31" s="1">
        <f t="shared" ref="BE31" si="48">SUM(BD31+BE27)</f>
        <v>7075</v>
      </c>
      <c r="BF31" s="1">
        <f t="shared" ref="BF31" si="49">SUM(BE31+BF27)</f>
        <v>7575</v>
      </c>
      <c r="BG31" s="1">
        <f t="shared" ref="BG31" si="50">SUM(BF31+BG27)</f>
        <v>8095</v>
      </c>
      <c r="BH31" s="1">
        <f t="shared" ref="BH31" si="51">SUM(BG31+BH27)</f>
        <v>8635</v>
      </c>
      <c r="BI31" s="1">
        <f t="shared" ref="BI31" si="52">SUM(BH31+BI27)</f>
        <v>9190</v>
      </c>
      <c r="BJ31" s="1">
        <f t="shared" ref="BJ31:BL31" si="53">SUM(BI31+BJ27)</f>
        <v>9765</v>
      </c>
      <c r="BK31" s="1">
        <f t="shared" si="53"/>
        <v>10365</v>
      </c>
      <c r="BL31" s="1">
        <f t="shared" si="53"/>
        <v>10990</v>
      </c>
    </row>
    <row r="32" spans="1:64" ht="16" x14ac:dyDescent="0.2">
      <c r="A32" s="15"/>
      <c r="B32" s="16"/>
      <c r="AG32" s="8"/>
      <c r="BI32" s="1"/>
      <c r="BJ32" s="1"/>
    </row>
    <row r="33" spans="1:64" ht="16" x14ac:dyDescent="0.2">
      <c r="A33" s="15"/>
      <c r="B33" s="16"/>
      <c r="AG33" s="1"/>
      <c r="AH33" s="4" t="s">
        <v>1563</v>
      </c>
      <c r="AI33" s="4" t="s">
        <v>1563</v>
      </c>
      <c r="AJ33" s="4" t="s">
        <v>1563</v>
      </c>
      <c r="AK33" s="4" t="s">
        <v>1563</v>
      </c>
      <c r="AL33" s="4" t="s">
        <v>1563</v>
      </c>
      <c r="AM33" s="4" t="s">
        <v>1563</v>
      </c>
      <c r="AN33" s="4" t="s">
        <v>1563</v>
      </c>
      <c r="AO33" s="4" t="s">
        <v>1563</v>
      </c>
      <c r="AP33" s="4" t="s">
        <v>1563</v>
      </c>
      <c r="AQ33" s="4" t="s">
        <v>1563</v>
      </c>
      <c r="AR33" s="4" t="s">
        <v>1563</v>
      </c>
      <c r="AS33" s="4" t="s">
        <v>1563</v>
      </c>
      <c r="AT33" s="4" t="s">
        <v>1563</v>
      </c>
      <c r="AU33" s="4" t="s">
        <v>1563</v>
      </c>
      <c r="AV33" s="4" t="s">
        <v>1563</v>
      </c>
      <c r="AW33" s="4" t="s">
        <v>1563</v>
      </c>
      <c r="AX33" s="4" t="s">
        <v>1563</v>
      </c>
      <c r="AY33" s="4" t="s">
        <v>1563</v>
      </c>
      <c r="AZ33" s="4" t="s">
        <v>1563</v>
      </c>
      <c r="BA33" s="4" t="s">
        <v>1563</v>
      </c>
      <c r="BB33" s="4" t="s">
        <v>1563</v>
      </c>
      <c r="BC33" s="4" t="s">
        <v>1563</v>
      </c>
      <c r="BD33" s="4" t="s">
        <v>1563</v>
      </c>
      <c r="BE33" s="4" t="s">
        <v>1563</v>
      </c>
      <c r="BF33" s="4" t="s">
        <v>1563</v>
      </c>
      <c r="BG33" s="4" t="s">
        <v>1563</v>
      </c>
      <c r="BH33" s="4" t="s">
        <v>1563</v>
      </c>
      <c r="BI33" s="4" t="s">
        <v>1563</v>
      </c>
      <c r="BJ33" s="4" t="s">
        <v>1563</v>
      </c>
      <c r="BK33" s="4" t="s">
        <v>1563</v>
      </c>
      <c r="BL33" s="4" t="s">
        <v>1563</v>
      </c>
    </row>
    <row r="34" spans="1:64" ht="16" x14ac:dyDescent="0.2">
      <c r="A34" s="15"/>
      <c r="B34" s="16"/>
      <c r="AG34" s="1"/>
      <c r="AH34" s="6">
        <f>(AH29/AH31)*100</f>
        <v>95.300000000000011</v>
      </c>
      <c r="AI34" s="6">
        <f>(AI29/AI31)*100</f>
        <v>97.709523809523816</v>
      </c>
      <c r="AJ34" s="6">
        <f>(AJ29/AJ31)*100</f>
        <v>97.71764705882353</v>
      </c>
      <c r="AK34" s="6">
        <f>(AK29/AK31)*100</f>
        <v>98.116326530612241</v>
      </c>
      <c r="AL34" s="6">
        <f t="shared" ref="AL34:BL34" si="54">(AL29/AL31)*100</f>
        <v>98.034351145038173</v>
      </c>
      <c r="AM34" s="6">
        <f t="shared" si="54"/>
        <v>96.601190476190482</v>
      </c>
      <c r="AN34" s="6">
        <f t="shared" si="54"/>
        <v>95.998557692307699</v>
      </c>
      <c r="AO34" s="6">
        <f t="shared" si="54"/>
        <v>95.644705882352937</v>
      </c>
      <c r="AP34" s="6">
        <f t="shared" si="54"/>
        <v>95.588196721311476</v>
      </c>
      <c r="AQ34" s="6">
        <f t="shared" si="54"/>
        <v>95.895786516853946</v>
      </c>
      <c r="AR34" s="6">
        <f t="shared" si="54"/>
        <v>95.736739659367402</v>
      </c>
      <c r="AS34" s="6">
        <f t="shared" si="54"/>
        <v>95.759787234042562</v>
      </c>
      <c r="AT34" s="6">
        <f t="shared" si="54"/>
        <v>95.650751879699243</v>
      </c>
      <c r="AU34" s="6">
        <f t="shared" si="54"/>
        <v>95.281438127090297</v>
      </c>
      <c r="AV34" s="6">
        <f t="shared" si="54"/>
        <v>94.816041979010492</v>
      </c>
      <c r="AW34" s="6">
        <f t="shared" si="54"/>
        <v>92.062246278755069</v>
      </c>
      <c r="AX34" s="6">
        <f t="shared" si="54"/>
        <v>91.17800982800982</v>
      </c>
      <c r="AY34" s="6">
        <f t="shared" si="54"/>
        <v>90.045627802690575</v>
      </c>
      <c r="AZ34" s="6">
        <f t="shared" si="54"/>
        <v>88.212564366632336</v>
      </c>
      <c r="BA34" s="6">
        <f t="shared" si="54"/>
        <v>86.363722697056005</v>
      </c>
      <c r="BB34" s="6">
        <f t="shared" si="54"/>
        <v>84.870851624231776</v>
      </c>
      <c r="BC34" s="6">
        <f t="shared" si="54"/>
        <v>83.663732681336583</v>
      </c>
      <c r="BD34" s="6">
        <f t="shared" si="54"/>
        <v>82.350568612585278</v>
      </c>
      <c r="BE34" s="6">
        <f t="shared" si="54"/>
        <v>80.989823321554766</v>
      </c>
      <c r="BF34" s="6">
        <f t="shared" si="54"/>
        <v>79.718811881188117</v>
      </c>
      <c r="BG34" s="6">
        <f t="shared" si="54"/>
        <v>78.604447189623215</v>
      </c>
      <c r="BH34" s="6">
        <f t="shared" si="54"/>
        <v>77.677243775332954</v>
      </c>
      <c r="BI34" s="6">
        <f t="shared" si="54"/>
        <v>76.427584330794346</v>
      </c>
      <c r="BJ34" s="6">
        <f t="shared" si="54"/>
        <v>75.315514592933951</v>
      </c>
      <c r="BK34" s="6">
        <f t="shared" si="54"/>
        <v>74.267824409068979</v>
      </c>
      <c r="BL34" s="6">
        <f t="shared" si="54"/>
        <v>73.215377616014564</v>
      </c>
    </row>
    <row r="35" spans="1:64" ht="16" x14ac:dyDescent="0.2">
      <c r="A35" s="15"/>
      <c r="B35" s="16"/>
      <c r="AG35" s="1"/>
      <c r="AH35" s="1"/>
      <c r="AM35" s="1"/>
      <c r="AN35" s="1"/>
      <c r="BI35" s="1"/>
      <c r="BJ35" s="1"/>
    </row>
    <row r="36" spans="1:64" ht="16" x14ac:dyDescent="0.2">
      <c r="A36" s="15"/>
      <c r="B36" s="16"/>
      <c r="AG36" s="1"/>
      <c r="AH36" s="1"/>
      <c r="AI36" s="1"/>
      <c r="AJ36" s="1"/>
      <c r="AK36" s="1"/>
      <c r="AL36" s="1"/>
      <c r="AM36" s="1"/>
      <c r="AN36" s="1"/>
      <c r="BI36" s="1"/>
      <c r="BJ36" s="1"/>
    </row>
    <row r="37" spans="1:64" ht="16" x14ac:dyDescent="0.2">
      <c r="A37" s="15"/>
      <c r="B37" s="16"/>
      <c r="AG37" s="1"/>
      <c r="AH37" s="1"/>
      <c r="AM37" s="1"/>
      <c r="AN37" s="1"/>
      <c r="BI37" s="1"/>
      <c r="BJ37" s="1"/>
    </row>
    <row r="38" spans="1:64" ht="16" x14ac:dyDescent="0.2">
      <c r="A38" s="15"/>
      <c r="B38" s="16"/>
      <c r="AG38" s="1"/>
      <c r="AH38" s="1"/>
      <c r="AM38" s="1"/>
      <c r="AN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I38" s="1"/>
      <c r="BJ38" s="1"/>
    </row>
    <row r="39" spans="1:64" ht="16" x14ac:dyDescent="0.2">
      <c r="A39" s="15"/>
      <c r="B39" s="16"/>
      <c r="AG39" s="8"/>
      <c r="AH39" s="1"/>
      <c r="AM39" s="1"/>
      <c r="AN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I39" s="1"/>
      <c r="BJ39" s="3"/>
    </row>
    <row r="40" spans="1:64" ht="16" x14ac:dyDescent="0.2">
      <c r="A40" s="15"/>
      <c r="B40" s="16"/>
      <c r="AG40" s="1"/>
      <c r="AH40" s="1"/>
      <c r="AM40" s="1"/>
      <c r="AN40" s="1"/>
      <c r="AR40" s="1"/>
      <c r="AS40" s="1"/>
      <c r="AT40" s="1"/>
      <c r="AU40" s="1"/>
      <c r="AV40" s="1"/>
      <c r="AW40" s="1"/>
      <c r="AX40" s="1"/>
      <c r="AY40" s="1"/>
      <c r="AZ40" s="1"/>
      <c r="BB40" s="28"/>
      <c r="BC40" s="3"/>
      <c r="BD40" s="3"/>
      <c r="BI40" s="1"/>
      <c r="BJ40" s="1"/>
    </row>
    <row r="41" spans="1:64" ht="16" x14ac:dyDescent="0.2">
      <c r="A41" s="15"/>
      <c r="B41" s="16"/>
      <c r="AG41" s="1"/>
      <c r="AH41" s="1"/>
      <c r="AM41" s="1"/>
      <c r="AN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64" ht="16" x14ac:dyDescent="0.2">
      <c r="A42" s="15"/>
      <c r="B42" s="16"/>
      <c r="AG42" s="1"/>
      <c r="AH42" s="3"/>
      <c r="AM42" s="1"/>
      <c r="AN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spans="1:64" ht="16" x14ac:dyDescent="0.2">
      <c r="A43" s="15"/>
      <c r="B43" s="16"/>
      <c r="AG43" s="1"/>
      <c r="AH43" s="1"/>
      <c r="AM43" s="1"/>
      <c r="AN43" s="1"/>
      <c r="AR43" s="1"/>
      <c r="AS43" s="1"/>
      <c r="AT43" s="1"/>
      <c r="AU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</row>
    <row r="44" spans="1:64" ht="16" x14ac:dyDescent="0.2">
      <c r="A44" s="15"/>
      <c r="B44" s="16"/>
      <c r="AG44" s="1"/>
      <c r="AH44" s="1"/>
      <c r="AM44" s="1"/>
      <c r="AN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spans="1:64" ht="16" x14ac:dyDescent="0.2">
      <c r="A45" s="15"/>
      <c r="B45" s="16"/>
      <c r="AG45" s="15"/>
      <c r="AH45" s="1"/>
      <c r="AM45" s="1"/>
      <c r="AN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</row>
    <row r="46" spans="1:64" ht="16" x14ac:dyDescent="0.2">
      <c r="A46" s="15"/>
      <c r="B46" s="16"/>
      <c r="AG46" s="1"/>
      <c r="AH46" s="1"/>
      <c r="AM46" s="1"/>
      <c r="AN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</row>
    <row r="47" spans="1:64" ht="16" x14ac:dyDescent="0.2">
      <c r="A47" s="15"/>
      <c r="B47" s="16"/>
      <c r="AG47" s="1"/>
      <c r="AH47" s="1"/>
      <c r="AM47" s="1"/>
      <c r="AN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</row>
    <row r="48" spans="1:64" ht="16" x14ac:dyDescent="0.2">
      <c r="A48" s="15"/>
      <c r="B48" s="16"/>
      <c r="AG48" s="1"/>
      <c r="AH48" s="1"/>
      <c r="AM48" s="1"/>
      <c r="AN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</row>
    <row r="49" spans="1:62" ht="16" x14ac:dyDescent="0.2">
      <c r="A49" s="15"/>
      <c r="B49" s="16"/>
      <c r="AG49" s="1"/>
      <c r="AH49" s="1"/>
      <c r="AM49" s="1"/>
      <c r="AN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3"/>
    </row>
    <row r="50" spans="1:62" ht="16" x14ac:dyDescent="0.2">
      <c r="A50" s="15"/>
      <c r="B50" s="16"/>
      <c r="AG50" s="1"/>
      <c r="AH50" s="1"/>
      <c r="AM50" s="1"/>
      <c r="AN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3"/>
      <c r="BJ50" s="1"/>
    </row>
    <row r="51" spans="1:62" ht="16" x14ac:dyDescent="0.2">
      <c r="A51" s="16"/>
      <c r="B51" s="16"/>
      <c r="AG51" s="1"/>
      <c r="AH51" s="1"/>
      <c r="AM51" s="1"/>
      <c r="AN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</row>
    <row r="52" spans="1:62" ht="16" x14ac:dyDescent="0.2">
      <c r="A52" s="16"/>
      <c r="B52" s="16"/>
      <c r="AG52" s="1"/>
      <c r="AH52" s="1"/>
      <c r="AM52" s="1"/>
      <c r="AN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</row>
    <row r="53" spans="1:62" ht="16" x14ac:dyDescent="0.2">
      <c r="A53" s="15"/>
      <c r="B53" s="16"/>
    </row>
    <row r="54" spans="1:62" ht="16" x14ac:dyDescent="0.2">
      <c r="A54" s="15"/>
      <c r="B54" s="16"/>
    </row>
    <row r="55" spans="1:62" ht="16" x14ac:dyDescent="0.2">
      <c r="A55" s="15"/>
      <c r="B55" s="16"/>
    </row>
    <row r="56" spans="1:62" ht="16" x14ac:dyDescent="0.2">
      <c r="A56" s="15"/>
      <c r="B56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AD45"/>
  <sheetViews>
    <sheetView topLeftCell="C1" workbookViewId="0">
      <selection activeCell="L25" sqref="L25:S25"/>
    </sheetView>
  </sheetViews>
  <sheetFormatPr baseColWidth="10" defaultRowHeight="15" x14ac:dyDescent="0.2"/>
  <cols>
    <col min="2" max="2" width="27.1640625" customWidth="1"/>
  </cols>
  <sheetData>
    <row r="1" spans="1:30" ht="16" x14ac:dyDescent="0.2">
      <c r="A1" s="3" t="s">
        <v>15</v>
      </c>
      <c r="B1" s="24" t="s">
        <v>681</v>
      </c>
      <c r="C1" s="3">
        <v>1983</v>
      </c>
      <c r="D1" s="3">
        <v>1987</v>
      </c>
      <c r="E1" s="3">
        <v>1991</v>
      </c>
      <c r="F1" s="3">
        <v>1995</v>
      </c>
      <c r="G1" s="3">
        <v>1999</v>
      </c>
      <c r="H1" s="3">
        <v>2002</v>
      </c>
      <c r="I1" s="3">
        <v>2007</v>
      </c>
      <c r="J1" s="3">
        <v>2011</v>
      </c>
      <c r="K1" s="3"/>
      <c r="L1" s="3">
        <v>1983</v>
      </c>
      <c r="M1" s="3">
        <v>1987</v>
      </c>
      <c r="N1" s="3">
        <v>1991</v>
      </c>
      <c r="O1" s="3">
        <v>1995</v>
      </c>
      <c r="P1" s="3">
        <v>1999</v>
      </c>
      <c r="Q1" s="3">
        <v>2002</v>
      </c>
      <c r="R1" s="3">
        <v>2007</v>
      </c>
      <c r="S1" s="3">
        <v>2011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6" x14ac:dyDescent="0.2">
      <c r="A2" s="8" t="s">
        <v>310</v>
      </c>
      <c r="B2" s="16" t="s">
        <v>726</v>
      </c>
      <c r="C2" s="1">
        <v>45.1</v>
      </c>
      <c r="D2" s="1">
        <v>36.299999999999997</v>
      </c>
      <c r="E2" s="1">
        <v>24</v>
      </c>
      <c r="F2" s="1">
        <v>19.7</v>
      </c>
      <c r="G2" s="1">
        <v>13.2</v>
      </c>
      <c r="H2" s="1">
        <v>5.0999999999999996</v>
      </c>
      <c r="I2" s="1"/>
      <c r="J2" s="1"/>
      <c r="K2" s="1"/>
      <c r="L2" s="1">
        <v>45.1</v>
      </c>
      <c r="M2" s="1">
        <f>(D2*0.2)+D2</f>
        <v>43.559999999999995</v>
      </c>
      <c r="N2" s="1">
        <f>(E2*0.4)+E2</f>
        <v>33.6</v>
      </c>
      <c r="O2" s="1">
        <f>(F2*0.6)+F2</f>
        <v>31.519999999999996</v>
      </c>
      <c r="P2" s="1">
        <f>(G2*0.8)+G2</f>
        <v>23.759999999999998</v>
      </c>
      <c r="Q2" s="1">
        <f>(H2*0.95)+H2</f>
        <v>9.9450000000000003</v>
      </c>
      <c r="R2" s="1"/>
      <c r="S2" s="1"/>
    </row>
    <row r="3" spans="1:30" ht="16" x14ac:dyDescent="0.2">
      <c r="A3" s="8" t="s">
        <v>228</v>
      </c>
      <c r="B3" s="16" t="s">
        <v>724</v>
      </c>
      <c r="C3" s="1"/>
      <c r="F3" s="1">
        <v>10.7</v>
      </c>
      <c r="G3" s="1">
        <v>8.6999999999999993</v>
      </c>
      <c r="H3" s="1">
        <v>19.399999999999999</v>
      </c>
      <c r="I3" s="1">
        <v>20.9</v>
      </c>
      <c r="J3" s="1">
        <v>26</v>
      </c>
      <c r="K3" s="1"/>
      <c r="L3" s="1"/>
      <c r="O3" s="1">
        <v>10.7</v>
      </c>
      <c r="P3" s="1">
        <f>(G3*0.2)+G3</f>
        <v>10.44</v>
      </c>
      <c r="Q3" s="1">
        <f>(H3*0.35)+H3</f>
        <v>26.189999999999998</v>
      </c>
      <c r="R3" s="1">
        <f>(I3*0.6)+I3</f>
        <v>33.44</v>
      </c>
      <c r="S3" s="1">
        <f>(J3*0.8)+J3</f>
        <v>46.8</v>
      </c>
    </row>
    <row r="4" spans="1:30" ht="16" x14ac:dyDescent="0.2">
      <c r="A4" s="8" t="s">
        <v>737</v>
      </c>
      <c r="B4" s="16" t="s">
        <v>730</v>
      </c>
      <c r="C4" s="1"/>
      <c r="D4" s="1">
        <v>24.7</v>
      </c>
      <c r="E4" s="1">
        <v>20.8</v>
      </c>
      <c r="F4" s="1"/>
      <c r="G4" s="1"/>
      <c r="H4" s="1"/>
      <c r="I4" s="1"/>
      <c r="J4" s="1"/>
      <c r="K4" s="1"/>
      <c r="L4" s="1"/>
      <c r="M4" s="1">
        <v>24.7</v>
      </c>
      <c r="N4" s="1">
        <f>(E4*0.2)+E4</f>
        <v>24.96</v>
      </c>
      <c r="O4" s="1"/>
      <c r="P4" s="1"/>
      <c r="Q4" s="1"/>
      <c r="R4" s="1"/>
      <c r="S4" s="1"/>
    </row>
    <row r="5" spans="1:30" ht="16" x14ac:dyDescent="0.2">
      <c r="A5" s="8" t="s">
        <v>606</v>
      </c>
      <c r="B5" s="16" t="s">
        <v>731</v>
      </c>
      <c r="C5" s="1"/>
      <c r="D5" s="1">
        <v>19.100000000000001</v>
      </c>
      <c r="E5" s="1">
        <v>27</v>
      </c>
      <c r="F5" s="1">
        <v>19.2</v>
      </c>
      <c r="G5" s="1">
        <v>12</v>
      </c>
      <c r="H5" s="1">
        <v>9.5</v>
      </c>
      <c r="I5" s="1">
        <v>5.4</v>
      </c>
      <c r="J5" s="1">
        <v>0.6</v>
      </c>
      <c r="K5" s="1"/>
      <c r="L5" s="1"/>
      <c r="M5" s="1">
        <v>19.100000000000001</v>
      </c>
      <c r="N5" s="1">
        <f>(E5*0.2)+E5</f>
        <v>32.4</v>
      </c>
      <c r="O5" s="1">
        <f>(F5*0.4)+F5</f>
        <v>26.88</v>
      </c>
      <c r="P5" s="1">
        <f>(G5*0.6)+G5</f>
        <v>19.2</v>
      </c>
      <c r="Q5" s="1">
        <f>(H5*0.75)+H5</f>
        <v>16.625</v>
      </c>
      <c r="R5" s="1">
        <f>(I5*1)+I5</f>
        <v>10.8</v>
      </c>
      <c r="S5" s="1">
        <f>(J5*1.2)+J5</f>
        <v>1.3199999999999998</v>
      </c>
    </row>
    <row r="6" spans="1:30" ht="16" x14ac:dyDescent="0.2">
      <c r="A6" s="8" t="s">
        <v>311</v>
      </c>
      <c r="B6" s="16" t="s">
        <v>735</v>
      </c>
      <c r="C6" s="1"/>
      <c r="D6" s="1">
        <v>8.5</v>
      </c>
      <c r="E6" s="1">
        <v>10.7</v>
      </c>
      <c r="F6" s="1">
        <v>14.6</v>
      </c>
      <c r="G6" s="1">
        <v>22.2</v>
      </c>
      <c r="H6" s="1">
        <v>1.2</v>
      </c>
      <c r="I6" s="1"/>
      <c r="J6" s="3">
        <v>0.3</v>
      </c>
      <c r="K6" s="1"/>
      <c r="L6" s="1"/>
      <c r="M6" s="1">
        <v>8.5</v>
      </c>
      <c r="N6" s="1">
        <f>(E6*0.2)+E6</f>
        <v>12.84</v>
      </c>
      <c r="O6" s="1">
        <f>(F6*0.4)+F6</f>
        <v>20.439999999999998</v>
      </c>
      <c r="P6" s="1">
        <f>(G6*0.6)+G6</f>
        <v>35.519999999999996</v>
      </c>
      <c r="Q6" s="1">
        <f>(H6*0.75)+H6</f>
        <v>2.0999999999999996</v>
      </c>
      <c r="R6" s="1"/>
      <c r="S6" s="1">
        <f>(J6*1.2)+J6</f>
        <v>0.65999999999999992</v>
      </c>
    </row>
    <row r="7" spans="1:30" ht="16" x14ac:dyDescent="0.2">
      <c r="A7" s="8" t="s">
        <v>252</v>
      </c>
      <c r="B7" s="16" t="s">
        <v>734</v>
      </c>
      <c r="C7" s="1"/>
      <c r="D7" s="1">
        <v>7.2</v>
      </c>
      <c r="E7" s="1">
        <v>16.899999999999999</v>
      </c>
      <c r="F7" s="1">
        <v>21.4</v>
      </c>
      <c r="G7" s="1"/>
      <c r="H7" s="1"/>
      <c r="I7" s="1"/>
      <c r="J7" s="1"/>
      <c r="K7" s="1"/>
      <c r="L7" s="1"/>
      <c r="M7" s="1">
        <v>7.2</v>
      </c>
      <c r="N7" s="1">
        <f>(E7*0.2)+E7</f>
        <v>20.279999999999998</v>
      </c>
      <c r="O7" s="1">
        <f>(F7*0.4)+F7</f>
        <v>29.96</v>
      </c>
      <c r="P7" s="1"/>
      <c r="Q7" s="1"/>
      <c r="R7" s="1"/>
      <c r="S7" s="1"/>
    </row>
    <row r="8" spans="1:30" ht="16" x14ac:dyDescent="0.2">
      <c r="A8" s="8" t="s">
        <v>312</v>
      </c>
      <c r="B8" s="16" t="s">
        <v>725</v>
      </c>
      <c r="C8" s="1"/>
      <c r="D8" s="1"/>
      <c r="E8" s="1"/>
      <c r="F8" s="1">
        <v>8.1999999999999993</v>
      </c>
      <c r="G8" s="1">
        <v>18</v>
      </c>
      <c r="H8" s="1">
        <v>8.4</v>
      </c>
      <c r="I8" s="1">
        <v>14.3</v>
      </c>
      <c r="J8" s="1">
        <v>13</v>
      </c>
      <c r="K8" s="1"/>
      <c r="L8" s="1"/>
      <c r="M8" s="1"/>
      <c r="N8" s="1"/>
      <c r="O8" s="1">
        <v>8.1999999999999993</v>
      </c>
      <c r="P8" s="1">
        <f>(G8*0.2)+G8</f>
        <v>21.6</v>
      </c>
      <c r="Q8" s="1">
        <f>(H8*0.35)+H8</f>
        <v>11.34</v>
      </c>
      <c r="R8" s="1">
        <f>(I8*0.6)+I8</f>
        <v>22.880000000000003</v>
      </c>
      <c r="S8" s="1">
        <f>(J8*0.8)+J8</f>
        <v>23.4</v>
      </c>
    </row>
    <row r="9" spans="1:30" ht="16" x14ac:dyDescent="0.2">
      <c r="A9" s="8" t="s">
        <v>603</v>
      </c>
      <c r="B9" s="16" t="s">
        <v>727</v>
      </c>
      <c r="C9" s="1"/>
      <c r="D9" s="1"/>
      <c r="E9" s="1"/>
      <c r="F9" s="1">
        <v>4.2</v>
      </c>
      <c r="G9" s="1">
        <v>4.8</v>
      </c>
      <c r="H9" s="1"/>
      <c r="I9" s="1"/>
      <c r="J9" s="1"/>
      <c r="K9" s="1"/>
      <c r="L9" s="1"/>
      <c r="M9" s="1"/>
      <c r="N9" s="1"/>
      <c r="O9" s="1">
        <v>4.2</v>
      </c>
      <c r="P9" s="1">
        <f>(G9*0.2)+G9</f>
        <v>5.76</v>
      </c>
      <c r="Q9" s="1"/>
      <c r="R9" s="1"/>
      <c r="S9" s="1"/>
    </row>
    <row r="10" spans="1:30" ht="16" x14ac:dyDescent="0.2">
      <c r="A10" s="8" t="s">
        <v>604</v>
      </c>
      <c r="B10" s="16" t="s">
        <v>728</v>
      </c>
      <c r="C10" s="1">
        <v>30.5</v>
      </c>
      <c r="D10" s="1"/>
      <c r="E10" s="1"/>
      <c r="F10" s="1"/>
      <c r="G10" s="1"/>
      <c r="H10" s="1"/>
      <c r="I10" s="1"/>
      <c r="J10" s="1"/>
      <c r="K10" s="1"/>
      <c r="L10" s="1">
        <v>30.5</v>
      </c>
      <c r="M10" s="1"/>
      <c r="N10" s="1"/>
      <c r="O10" s="1"/>
      <c r="P10" s="1"/>
      <c r="Q10" s="1"/>
      <c r="R10" s="1"/>
      <c r="S10" s="1"/>
    </row>
    <row r="11" spans="1:30" ht="16" x14ac:dyDescent="0.2">
      <c r="A11" s="8" t="s">
        <v>605</v>
      </c>
      <c r="B11" s="16" t="s">
        <v>729</v>
      </c>
      <c r="C11" s="1">
        <v>23.3</v>
      </c>
      <c r="D11" s="1"/>
      <c r="E11" s="1"/>
      <c r="F11" s="1"/>
      <c r="G11" s="1"/>
      <c r="H11" s="1"/>
      <c r="I11" s="1"/>
      <c r="J11" s="1"/>
      <c r="K11" s="1"/>
      <c r="L11" s="1">
        <v>23.3</v>
      </c>
      <c r="M11" s="1"/>
      <c r="N11" s="1"/>
      <c r="O11" s="1"/>
      <c r="P11" s="1"/>
      <c r="Q11" s="1"/>
      <c r="R11" s="1"/>
      <c r="S11" s="1"/>
    </row>
    <row r="12" spans="1:30" ht="16" x14ac:dyDescent="0.2">
      <c r="A12" s="8" t="s">
        <v>358</v>
      </c>
      <c r="B12" s="16" t="s">
        <v>732</v>
      </c>
      <c r="C12" s="1"/>
      <c r="D12" s="1"/>
      <c r="E12" s="1"/>
      <c r="F12" s="1"/>
      <c r="G12" s="1"/>
      <c r="H12" s="1">
        <v>7.3</v>
      </c>
      <c r="I12" s="1">
        <v>3</v>
      </c>
      <c r="J12" s="1"/>
      <c r="K12" s="1"/>
      <c r="L12" s="1"/>
      <c r="M12" s="1"/>
      <c r="N12" s="1"/>
      <c r="O12" s="1"/>
      <c r="P12" s="1"/>
      <c r="Q12" s="1">
        <v>7.3</v>
      </c>
      <c r="R12" s="1">
        <f>(I12*0.25)+I12</f>
        <v>3.75</v>
      </c>
      <c r="S12" s="1"/>
    </row>
    <row r="13" spans="1:30" ht="16" x14ac:dyDescent="0.2">
      <c r="A13" s="8" t="s">
        <v>607</v>
      </c>
      <c r="B13" s="16" t="s">
        <v>733</v>
      </c>
      <c r="C13" s="1"/>
      <c r="D13" s="1"/>
      <c r="E13" s="1"/>
      <c r="F13" s="1"/>
      <c r="G13" s="1"/>
      <c r="H13" s="1">
        <v>6.2</v>
      </c>
      <c r="I13" s="1"/>
      <c r="J13" s="1"/>
      <c r="K13" s="1"/>
      <c r="L13" s="1"/>
      <c r="M13" s="1"/>
      <c r="N13" s="1"/>
      <c r="O13" s="1"/>
      <c r="P13" s="1"/>
      <c r="Q13" s="1">
        <v>6.2</v>
      </c>
      <c r="R13" s="1"/>
      <c r="S13" s="1"/>
    </row>
    <row r="14" spans="1:30" ht="16" x14ac:dyDescent="0.2">
      <c r="A14" s="8" t="s">
        <v>250</v>
      </c>
      <c r="B14" s="16" t="s">
        <v>736</v>
      </c>
      <c r="C14" s="1"/>
      <c r="D14" s="1"/>
      <c r="E14" s="1"/>
      <c r="F14" s="1"/>
      <c r="G14" s="1">
        <v>15.4</v>
      </c>
      <c r="H14" s="1"/>
      <c r="I14" s="1"/>
      <c r="J14" s="1"/>
      <c r="K14" s="1"/>
      <c r="L14" s="1"/>
      <c r="M14" s="1"/>
      <c r="N14" s="1"/>
      <c r="O14" s="1"/>
      <c r="P14" s="1">
        <v>15.4</v>
      </c>
      <c r="Q14" s="1"/>
      <c r="R14" s="1"/>
      <c r="S14" s="1"/>
    </row>
    <row r="15" spans="1:30" ht="16" x14ac:dyDescent="0.2">
      <c r="A15" s="8" t="s">
        <v>313</v>
      </c>
      <c r="B15" s="16" t="s">
        <v>723</v>
      </c>
      <c r="C15" s="1"/>
      <c r="D15" s="1"/>
      <c r="E15" s="1"/>
      <c r="F15" s="1"/>
      <c r="G15" s="1"/>
      <c r="H15" s="1">
        <v>34.299999999999997</v>
      </c>
      <c r="I15" s="1">
        <v>46.7</v>
      </c>
      <c r="J15" s="1">
        <v>49.8</v>
      </c>
      <c r="K15" s="1"/>
      <c r="L15" s="1"/>
      <c r="M15" s="1"/>
      <c r="N15" s="1"/>
      <c r="O15" s="1"/>
      <c r="P15" s="1"/>
      <c r="Q15" s="1">
        <v>34.299999999999997</v>
      </c>
      <c r="R15" s="1">
        <f>(I15*0.25)+I15</f>
        <v>58.375</v>
      </c>
      <c r="S15" s="1">
        <f>(J15*0.45)+J15</f>
        <v>72.209999999999994</v>
      </c>
    </row>
    <row r="16" spans="1:30" ht="16" x14ac:dyDescent="0.2">
      <c r="A16" s="8" t="s">
        <v>415</v>
      </c>
      <c r="B16" s="16" t="s">
        <v>714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3" t="s">
        <v>14</v>
      </c>
      <c r="L17" s="1">
        <f>SUM(L2:L16)</f>
        <v>98.899999999999991</v>
      </c>
      <c r="M17" s="1">
        <f>SUM(M2:M16)</f>
        <v>103.05999999999999</v>
      </c>
      <c r="N17" s="1">
        <f t="shared" ref="N17:S17" si="0">SUM(N2:N16)</f>
        <v>124.08000000000001</v>
      </c>
      <c r="O17" s="1">
        <f t="shared" si="0"/>
        <v>131.9</v>
      </c>
      <c r="P17" s="1">
        <f t="shared" si="0"/>
        <v>131.67999999999998</v>
      </c>
      <c r="Q17" s="1">
        <f t="shared" si="0"/>
        <v>114</v>
      </c>
      <c r="R17" s="1">
        <f t="shared" si="0"/>
        <v>129.245</v>
      </c>
      <c r="S17" s="1">
        <f t="shared" si="0"/>
        <v>144.38999999999999</v>
      </c>
      <c r="T17" s="1"/>
      <c r="U17" s="5"/>
    </row>
    <row r="19" spans="1:21" x14ac:dyDescent="0.2">
      <c r="L19" s="1">
        <v>100</v>
      </c>
      <c r="M19" s="1">
        <v>120</v>
      </c>
      <c r="N19" s="1">
        <v>140</v>
      </c>
      <c r="O19" s="1">
        <v>160</v>
      </c>
      <c r="P19" s="1">
        <v>180</v>
      </c>
      <c r="Q19" s="1">
        <v>195</v>
      </c>
      <c r="R19" s="1">
        <v>220</v>
      </c>
      <c r="S19" s="1">
        <v>240</v>
      </c>
      <c r="T19" s="1"/>
    </row>
    <row r="21" spans="1:21" x14ac:dyDescent="0.2">
      <c r="L21" s="1">
        <f>L17</f>
        <v>98.899999999999991</v>
      </c>
      <c r="M21" s="1">
        <f>SUM(L21+M17)</f>
        <v>201.95999999999998</v>
      </c>
      <c r="N21" s="1">
        <f>SUM(M21+N17)</f>
        <v>326.03999999999996</v>
      </c>
      <c r="O21" s="1">
        <f t="shared" ref="O21:S21" si="1">SUM(N21+O17)</f>
        <v>457.93999999999994</v>
      </c>
      <c r="P21" s="1">
        <f t="shared" si="1"/>
        <v>589.61999999999989</v>
      </c>
      <c r="Q21" s="1">
        <f t="shared" si="1"/>
        <v>703.61999999999989</v>
      </c>
      <c r="R21" s="1">
        <f t="shared" si="1"/>
        <v>832.8649999999999</v>
      </c>
      <c r="S21" s="1">
        <f t="shared" si="1"/>
        <v>977.25499999999988</v>
      </c>
    </row>
    <row r="22" spans="1:21" x14ac:dyDescent="0.2">
      <c r="L22" s="3"/>
      <c r="M22" s="3"/>
      <c r="N22" s="3"/>
      <c r="O22" s="1"/>
      <c r="P22" s="1"/>
      <c r="Q22" s="3"/>
      <c r="R22" s="3"/>
      <c r="S22" s="3"/>
    </row>
    <row r="23" spans="1:21" x14ac:dyDescent="0.2">
      <c r="L23" s="1">
        <v>100</v>
      </c>
      <c r="M23" s="1">
        <f>SUM(L23+M19)</f>
        <v>220</v>
      </c>
      <c r="N23" s="1">
        <f>SUM(M23+N19)</f>
        <v>360</v>
      </c>
      <c r="O23" s="1">
        <f t="shared" ref="O23:S23" si="2">SUM(N23+O19)</f>
        <v>520</v>
      </c>
      <c r="P23" s="1">
        <f t="shared" si="2"/>
        <v>700</v>
      </c>
      <c r="Q23" s="1">
        <f t="shared" si="2"/>
        <v>895</v>
      </c>
      <c r="R23" s="1">
        <f t="shared" si="2"/>
        <v>1115</v>
      </c>
      <c r="S23" s="1">
        <f t="shared" si="2"/>
        <v>1355</v>
      </c>
    </row>
    <row r="25" spans="1:21" x14ac:dyDescent="0.2">
      <c r="L25" s="4" t="s">
        <v>1563</v>
      </c>
      <c r="M25" s="4" t="s">
        <v>1563</v>
      </c>
      <c r="N25" s="4" t="s">
        <v>1563</v>
      </c>
      <c r="O25" s="4" t="s">
        <v>1563</v>
      </c>
      <c r="P25" s="4" t="s">
        <v>1563</v>
      </c>
      <c r="Q25" s="4" t="s">
        <v>1563</v>
      </c>
      <c r="R25" s="4" t="s">
        <v>1563</v>
      </c>
      <c r="S25" s="4" t="s">
        <v>1563</v>
      </c>
    </row>
    <row r="26" spans="1:21" x14ac:dyDescent="0.2">
      <c r="L26" s="6">
        <f>(L21/L23)*100</f>
        <v>98.899999999999991</v>
      </c>
      <c r="M26" s="6">
        <f>(M21/M23)*100</f>
        <v>91.8</v>
      </c>
      <c r="N26" s="6">
        <f>(N21/N23)*100</f>
        <v>90.566666666666663</v>
      </c>
      <c r="O26" s="6">
        <f t="shared" ref="O26:S26" si="3">(O21/O23)*100</f>
        <v>88.065384615384602</v>
      </c>
      <c r="P26" s="6">
        <f t="shared" si="3"/>
        <v>84.231428571428552</v>
      </c>
      <c r="Q26" s="6">
        <f t="shared" si="3"/>
        <v>78.616759776536298</v>
      </c>
      <c r="R26" s="6">
        <f t="shared" si="3"/>
        <v>74.696412556053801</v>
      </c>
      <c r="S26" s="6">
        <f t="shared" si="3"/>
        <v>72.122140221402205</v>
      </c>
    </row>
    <row r="30" spans="1:21" ht="16" x14ac:dyDescent="0.2">
      <c r="A30" s="15"/>
      <c r="B30" s="15"/>
      <c r="C30" s="16"/>
    </row>
    <row r="31" spans="1:21" ht="16" x14ac:dyDescent="0.2">
      <c r="A31" s="15"/>
      <c r="B31" s="15"/>
      <c r="C31" s="16"/>
    </row>
    <row r="32" spans="1:21" ht="16" x14ac:dyDescent="0.2">
      <c r="A32" s="15"/>
      <c r="B32" s="15"/>
      <c r="C32" s="16"/>
    </row>
    <row r="33" spans="1:3" ht="16" x14ac:dyDescent="0.2">
      <c r="A33" s="15"/>
      <c r="B33" s="15"/>
      <c r="C33" s="16"/>
    </row>
    <row r="34" spans="1:3" ht="16" x14ac:dyDescent="0.2">
      <c r="A34" s="15"/>
      <c r="B34" s="15"/>
      <c r="C34" s="16"/>
    </row>
    <row r="35" spans="1:3" ht="16" x14ac:dyDescent="0.2">
      <c r="A35" s="15"/>
      <c r="B35" s="15"/>
      <c r="C35" s="16"/>
    </row>
    <row r="36" spans="1:3" ht="16" x14ac:dyDescent="0.2">
      <c r="A36" s="15"/>
      <c r="B36" s="15"/>
      <c r="C36" s="16"/>
    </row>
    <row r="37" spans="1:3" ht="16" x14ac:dyDescent="0.2">
      <c r="A37" s="15"/>
      <c r="B37" s="15"/>
      <c r="C37" s="16"/>
    </row>
    <row r="38" spans="1:3" ht="16" x14ac:dyDescent="0.2">
      <c r="A38" s="15"/>
      <c r="B38" s="15"/>
      <c r="C38" s="16"/>
    </row>
    <row r="39" spans="1:3" ht="16" x14ac:dyDescent="0.2">
      <c r="A39" s="15"/>
      <c r="B39" s="15"/>
      <c r="C39" s="16"/>
    </row>
    <row r="40" spans="1:3" ht="16" x14ac:dyDescent="0.2">
      <c r="A40" s="15"/>
      <c r="B40" s="15"/>
      <c r="C40" s="16"/>
    </row>
    <row r="41" spans="1:3" ht="16" x14ac:dyDescent="0.2">
      <c r="A41" s="15"/>
      <c r="B41" s="15"/>
      <c r="C41" s="16"/>
    </row>
    <row r="42" spans="1:3" ht="16" x14ac:dyDescent="0.2">
      <c r="A42" s="15"/>
      <c r="B42" s="15"/>
      <c r="C42" s="16"/>
    </row>
    <row r="43" spans="1:3" ht="16" x14ac:dyDescent="0.2">
      <c r="A43" s="15"/>
      <c r="B43" s="15"/>
      <c r="C43" s="16"/>
    </row>
    <row r="44" spans="1:3" ht="16" x14ac:dyDescent="0.2">
      <c r="A44" s="15"/>
      <c r="B44" s="15"/>
      <c r="C44" s="16"/>
    </row>
    <row r="45" spans="1:3" ht="16" x14ac:dyDescent="0.2">
      <c r="A45" s="15"/>
      <c r="B45" s="15"/>
      <c r="C45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R46"/>
  <sheetViews>
    <sheetView workbookViewId="0">
      <selection activeCell="K26" sqref="K26:P26"/>
    </sheetView>
  </sheetViews>
  <sheetFormatPr baseColWidth="10" defaultRowHeight="15" x14ac:dyDescent="0.2"/>
  <cols>
    <col min="2" max="2" width="38.33203125" customWidth="1"/>
  </cols>
  <sheetData>
    <row r="1" spans="1:18" ht="16" x14ac:dyDescent="0.2">
      <c r="A1" s="3" t="s">
        <v>15</v>
      </c>
      <c r="B1" s="24" t="s">
        <v>681</v>
      </c>
      <c r="C1" s="3">
        <v>1994</v>
      </c>
      <c r="D1" s="3">
        <v>1998</v>
      </c>
      <c r="E1" s="3">
        <v>2002</v>
      </c>
      <c r="F1" s="3">
        <v>2006</v>
      </c>
      <c r="G1" s="3">
        <v>2007</v>
      </c>
      <c r="H1" s="3">
        <v>2012</v>
      </c>
      <c r="K1" s="3">
        <v>1994</v>
      </c>
      <c r="L1" s="3">
        <v>1998</v>
      </c>
      <c r="M1" s="3">
        <v>2002</v>
      </c>
      <c r="N1" s="3">
        <v>2006</v>
      </c>
      <c r="O1" s="3">
        <v>2007</v>
      </c>
      <c r="P1" s="3">
        <v>2012</v>
      </c>
    </row>
    <row r="2" spans="1:18" ht="16" x14ac:dyDescent="0.2">
      <c r="A2" s="1" t="s">
        <v>155</v>
      </c>
      <c r="B2" s="16" t="s">
        <v>706</v>
      </c>
      <c r="C2" s="1">
        <v>12.7</v>
      </c>
      <c r="D2" s="1">
        <v>25.4</v>
      </c>
      <c r="E2" s="1">
        <v>20.8</v>
      </c>
      <c r="F2" s="1">
        <v>3.7</v>
      </c>
      <c r="G2" s="1">
        <v>5.4</v>
      </c>
      <c r="H2" s="1">
        <v>13.2</v>
      </c>
      <c r="K2" s="1">
        <v>12.7</v>
      </c>
      <c r="L2" s="1">
        <f>(D2*0.2)+D2</f>
        <v>30.479999999999997</v>
      </c>
      <c r="M2" s="1">
        <f>(E2*0.4)+E2</f>
        <v>29.12</v>
      </c>
      <c r="N2" s="1">
        <f>(F2*0.6)+F2</f>
        <v>5.92</v>
      </c>
      <c r="O2" s="1">
        <f>(G2*0.65)+G2</f>
        <v>8.91</v>
      </c>
      <c r="P2" s="1">
        <f>(H2*0.9)+H2</f>
        <v>25.08</v>
      </c>
      <c r="Q2" s="1"/>
    </row>
    <row r="3" spans="1:18" ht="16" x14ac:dyDescent="0.2">
      <c r="A3" s="1" t="s">
        <v>157</v>
      </c>
      <c r="B3" s="16" t="s">
        <v>707</v>
      </c>
      <c r="C3" s="1">
        <v>3.1</v>
      </c>
      <c r="D3" s="1">
        <v>8.8000000000000007</v>
      </c>
      <c r="E3" s="1">
        <v>7.1</v>
      </c>
      <c r="F3" s="1">
        <v>5.7</v>
      </c>
      <c r="G3" s="1">
        <v>2.9</v>
      </c>
      <c r="H3" s="1">
        <v>0.5</v>
      </c>
      <c r="K3" s="1">
        <v>3.1</v>
      </c>
      <c r="L3" s="1">
        <f>(D3*0.2)+D3</f>
        <v>10.56</v>
      </c>
      <c r="M3" s="1">
        <f>(E3*0.4)+E3</f>
        <v>9.94</v>
      </c>
      <c r="N3" s="1">
        <f>(F3*0.6)+F3</f>
        <v>9.120000000000001</v>
      </c>
      <c r="O3" s="1">
        <f>(G3*0.65)+G3</f>
        <v>4.7850000000000001</v>
      </c>
      <c r="P3" s="1">
        <f>(H3*0.9)+H3</f>
        <v>0.95</v>
      </c>
      <c r="Q3" s="1"/>
    </row>
    <row r="4" spans="1:18" ht="16" x14ac:dyDescent="0.2">
      <c r="A4" s="1" t="s">
        <v>350</v>
      </c>
      <c r="B4" s="16" t="s">
        <v>708</v>
      </c>
      <c r="C4" s="1">
        <v>0.2</v>
      </c>
      <c r="D4" s="1">
        <v>0.2</v>
      </c>
      <c r="E4" s="1"/>
      <c r="F4" s="1">
        <v>0.4</v>
      </c>
      <c r="G4" s="1">
        <v>0.8</v>
      </c>
      <c r="H4" s="1">
        <v>10.5</v>
      </c>
      <c r="K4" s="1">
        <v>0.2</v>
      </c>
      <c r="L4" s="1">
        <f>(D4*0.2)+D4</f>
        <v>0.24000000000000002</v>
      </c>
      <c r="M4" s="1"/>
      <c r="N4" s="1">
        <f>(F4*0.6)+F4</f>
        <v>0.64</v>
      </c>
      <c r="O4" s="1">
        <f>(G4*0.65)+G4</f>
        <v>1.32</v>
      </c>
      <c r="P4" s="1">
        <f>(H4*0.9)+H4</f>
        <v>19.950000000000003</v>
      </c>
      <c r="Q4" s="1"/>
    </row>
    <row r="5" spans="1:18" ht="16" x14ac:dyDescent="0.2">
      <c r="A5" s="1" t="s">
        <v>353</v>
      </c>
      <c r="B5" s="16" t="s">
        <v>709</v>
      </c>
      <c r="C5" s="1">
        <v>5.2</v>
      </c>
      <c r="D5" s="1">
        <v>9.6999999999999993</v>
      </c>
      <c r="E5" s="1"/>
      <c r="F5" s="1"/>
      <c r="G5" s="1"/>
      <c r="H5" s="1"/>
      <c r="K5" s="1">
        <v>5.2</v>
      </c>
      <c r="L5" s="1">
        <f>(D5*0.2)+D5</f>
        <v>11.639999999999999</v>
      </c>
      <c r="M5" s="1"/>
      <c r="N5" s="1"/>
      <c r="O5" s="1"/>
      <c r="P5" s="1"/>
      <c r="Q5" s="1"/>
    </row>
    <row r="6" spans="1:18" ht="16" x14ac:dyDescent="0.2">
      <c r="A6" s="1" t="s">
        <v>158</v>
      </c>
      <c r="B6" s="16" t="s">
        <v>710</v>
      </c>
      <c r="C6" s="1">
        <v>0.3</v>
      </c>
      <c r="D6" s="1">
        <v>3.2</v>
      </c>
      <c r="F6" s="1">
        <v>0.2</v>
      </c>
      <c r="G6" s="1"/>
      <c r="H6" s="1"/>
      <c r="K6" s="1">
        <v>0.3</v>
      </c>
      <c r="L6" s="1">
        <f>(D6*0.2)+D6</f>
        <v>3.8400000000000003</v>
      </c>
      <c r="M6" s="1"/>
      <c r="N6" s="1">
        <f>(F6*0.6)+F6</f>
        <v>0.32</v>
      </c>
      <c r="O6" s="1"/>
      <c r="P6" s="1"/>
      <c r="Q6" s="1"/>
      <c r="R6" s="4"/>
    </row>
    <row r="7" spans="1:18" ht="16" x14ac:dyDescent="0.2">
      <c r="A7" s="1" t="s">
        <v>608</v>
      </c>
      <c r="B7" s="16" t="s">
        <v>711</v>
      </c>
      <c r="C7" s="1"/>
      <c r="D7" s="1">
        <v>5.6</v>
      </c>
      <c r="E7" s="1">
        <v>1.4</v>
      </c>
      <c r="F7" s="3">
        <v>0.5</v>
      </c>
      <c r="G7" s="1">
        <v>0.4</v>
      </c>
      <c r="H7" s="1">
        <v>0.4</v>
      </c>
      <c r="K7" s="1"/>
      <c r="L7" s="1">
        <v>5.6</v>
      </c>
      <c r="M7" s="1">
        <f>(E7*0.2)+E7</f>
        <v>1.68</v>
      </c>
      <c r="N7" s="1">
        <f t="shared" ref="N7:N14" si="0">(F7*0.4)+F7</f>
        <v>0.7</v>
      </c>
      <c r="O7" s="1">
        <f>(G7*0.45)+G7</f>
        <v>0.58000000000000007</v>
      </c>
      <c r="P7" s="1">
        <f>(H7*0.7)+H7</f>
        <v>0.67999999999999994</v>
      </c>
      <c r="Q7" s="1"/>
    </row>
    <row r="8" spans="1:18" ht="16" x14ac:dyDescent="0.2">
      <c r="A8" s="1" t="s">
        <v>153</v>
      </c>
      <c r="B8" s="16" t="s">
        <v>712</v>
      </c>
      <c r="C8" s="1"/>
      <c r="D8" s="1">
        <v>0.9</v>
      </c>
      <c r="E8" s="1">
        <v>12.2</v>
      </c>
      <c r="F8" s="1">
        <v>32.1</v>
      </c>
      <c r="G8" s="1">
        <v>34.4</v>
      </c>
      <c r="H8" s="1">
        <v>30</v>
      </c>
      <c r="K8" s="1"/>
      <c r="L8" s="1">
        <v>0.9</v>
      </c>
      <c r="M8" s="1">
        <f>(E8*0.2)+E8</f>
        <v>14.639999999999999</v>
      </c>
      <c r="N8" s="1">
        <f t="shared" si="0"/>
        <v>44.940000000000005</v>
      </c>
      <c r="O8" s="1">
        <f>(G8*0.45)+G8</f>
        <v>49.879999999999995</v>
      </c>
      <c r="P8" s="1">
        <f>(H8*0.7)+H8</f>
        <v>51</v>
      </c>
      <c r="Q8" s="1"/>
    </row>
    <row r="9" spans="1:18" ht="16" x14ac:dyDescent="0.2">
      <c r="A9" s="1" t="s">
        <v>351</v>
      </c>
      <c r="B9" s="16" t="s">
        <v>713</v>
      </c>
      <c r="C9" s="1"/>
      <c r="D9" s="1">
        <v>4.0999999999999996</v>
      </c>
      <c r="E9" s="1">
        <v>6.5</v>
      </c>
      <c r="F9" s="1">
        <v>1</v>
      </c>
      <c r="G9" s="1"/>
      <c r="K9" s="1"/>
      <c r="L9" s="1">
        <v>4.0999999999999996</v>
      </c>
      <c r="M9" s="1">
        <f>(E9*0.2)+E9</f>
        <v>7.8</v>
      </c>
      <c r="N9" s="1">
        <f t="shared" si="0"/>
        <v>1.4</v>
      </c>
      <c r="O9" s="1"/>
      <c r="P9" s="1"/>
      <c r="Q9" s="1"/>
      <c r="R9" s="4"/>
    </row>
    <row r="10" spans="1:18" ht="16" x14ac:dyDescent="0.2">
      <c r="A10" s="1" t="s">
        <v>138</v>
      </c>
      <c r="B10" s="16" t="s">
        <v>714</v>
      </c>
      <c r="C10" s="1"/>
      <c r="D10" s="1">
        <v>5.2</v>
      </c>
      <c r="E10" s="1"/>
      <c r="F10" s="1">
        <v>0.5</v>
      </c>
      <c r="G10" s="1">
        <v>0.3</v>
      </c>
      <c r="K10" s="1"/>
      <c r="L10" s="1">
        <v>5.2</v>
      </c>
      <c r="M10" s="1"/>
      <c r="N10" s="1">
        <f t="shared" si="0"/>
        <v>0.7</v>
      </c>
      <c r="O10" s="1">
        <f>(G10*0.45)+G10</f>
        <v>0.435</v>
      </c>
      <c r="P10" s="1"/>
      <c r="Q10" s="1"/>
      <c r="R10" s="4"/>
    </row>
    <row r="11" spans="1:18" ht="16" x14ac:dyDescent="0.2">
      <c r="A11" s="15" t="s">
        <v>609</v>
      </c>
      <c r="B11" s="16" t="s">
        <v>715</v>
      </c>
      <c r="C11" s="1"/>
      <c r="D11" s="1">
        <v>4.8</v>
      </c>
      <c r="F11" s="1">
        <v>0.3</v>
      </c>
      <c r="K11" s="1"/>
      <c r="L11" s="1">
        <v>4.8</v>
      </c>
      <c r="M11" s="1"/>
      <c r="N11" s="1">
        <f t="shared" si="0"/>
        <v>0.42</v>
      </c>
      <c r="O11" s="1"/>
      <c r="P11" s="1"/>
      <c r="Q11" s="1"/>
      <c r="R11" s="4"/>
    </row>
    <row r="12" spans="1:18" ht="16" x14ac:dyDescent="0.2">
      <c r="A12" s="15" t="s">
        <v>610</v>
      </c>
      <c r="B12" s="16" t="s">
        <v>716</v>
      </c>
      <c r="C12" s="1"/>
      <c r="D12" s="1">
        <v>4.2</v>
      </c>
      <c r="E12" s="1">
        <v>3.4</v>
      </c>
      <c r="F12" s="1">
        <v>2.9</v>
      </c>
      <c r="G12" s="1">
        <v>1.3</v>
      </c>
      <c r="K12" s="1"/>
      <c r="L12" s="1">
        <v>4.2</v>
      </c>
      <c r="M12" s="1">
        <f>(E12*0.2)+E12</f>
        <v>4.08</v>
      </c>
      <c r="N12" s="1">
        <f t="shared" si="0"/>
        <v>4.0599999999999996</v>
      </c>
      <c r="O12" s="1">
        <f>(G12*0.45)+G12</f>
        <v>1.8850000000000002</v>
      </c>
      <c r="P12" s="1"/>
      <c r="Q12" s="1"/>
      <c r="R12" s="4"/>
    </row>
    <row r="13" spans="1:18" ht="16" x14ac:dyDescent="0.2">
      <c r="A13" s="1" t="s">
        <v>156</v>
      </c>
      <c r="B13" s="16" t="s">
        <v>717</v>
      </c>
      <c r="C13" s="1"/>
      <c r="D13" s="1">
        <v>3.8</v>
      </c>
      <c r="F13" s="1">
        <v>2.4</v>
      </c>
      <c r="G13" s="1">
        <v>4</v>
      </c>
      <c r="K13" s="1"/>
      <c r="L13" s="1">
        <v>3.8</v>
      </c>
      <c r="M13" s="1"/>
      <c r="N13" s="1">
        <f t="shared" si="0"/>
        <v>3.36</v>
      </c>
      <c r="O13" s="1">
        <f>(G13*0.45)+G13</f>
        <v>5.8</v>
      </c>
      <c r="P13" s="1"/>
      <c r="Q13" s="1"/>
    </row>
    <row r="14" spans="1:18" ht="16" x14ac:dyDescent="0.2">
      <c r="A14" s="1" t="s">
        <v>354</v>
      </c>
      <c r="B14" s="16" t="s">
        <v>718</v>
      </c>
      <c r="C14" s="1"/>
      <c r="D14" s="1">
        <v>3.2</v>
      </c>
      <c r="F14" s="1">
        <v>1.5</v>
      </c>
      <c r="G14" s="1"/>
      <c r="H14" s="1"/>
      <c r="K14" s="1"/>
      <c r="L14" s="1">
        <v>3.2</v>
      </c>
      <c r="M14" s="1"/>
      <c r="N14" s="1">
        <f t="shared" si="0"/>
        <v>2.1</v>
      </c>
      <c r="O14" s="1"/>
      <c r="P14" s="1"/>
      <c r="Q14" s="1"/>
      <c r="R14" s="4"/>
    </row>
    <row r="15" spans="1:18" ht="16" x14ac:dyDescent="0.2">
      <c r="A15" s="1" t="s">
        <v>154</v>
      </c>
      <c r="B15" s="16" t="s">
        <v>720</v>
      </c>
      <c r="C15" s="1"/>
      <c r="D15" s="1"/>
      <c r="E15" s="1">
        <v>7.5</v>
      </c>
      <c r="F15" s="1">
        <v>22.3</v>
      </c>
      <c r="G15" s="1">
        <v>30.7</v>
      </c>
      <c r="H15" s="1">
        <v>25.6</v>
      </c>
      <c r="K15" s="1"/>
      <c r="L15" s="1"/>
      <c r="M15" s="1">
        <v>7.5</v>
      </c>
      <c r="N15" s="1">
        <f>(F15*0.2)+F15</f>
        <v>26.76</v>
      </c>
      <c r="O15" s="1">
        <f>(G15*0.25)+G15</f>
        <v>38.375</v>
      </c>
      <c r="P15" s="1">
        <f>(H15*0.5)+H15</f>
        <v>38.400000000000006</v>
      </c>
      <c r="Q15" s="1"/>
    </row>
    <row r="16" spans="1:18" ht="16" x14ac:dyDescent="0.2">
      <c r="A16" s="1" t="s">
        <v>611</v>
      </c>
      <c r="B16" s="16" t="s">
        <v>721</v>
      </c>
      <c r="C16" s="1"/>
      <c r="D16" s="1"/>
      <c r="E16" s="1">
        <v>24.5</v>
      </c>
      <c r="F16" s="1">
        <v>14</v>
      </c>
      <c r="G16" s="1">
        <v>14.2</v>
      </c>
      <c r="H16" s="1">
        <v>1.1000000000000001</v>
      </c>
      <c r="K16" s="1"/>
      <c r="L16" s="1"/>
      <c r="M16" s="1">
        <v>24.5</v>
      </c>
      <c r="N16" s="1">
        <f>(F16*0.2)+F16</f>
        <v>16.8</v>
      </c>
      <c r="O16" s="1">
        <f>(G16*0.25)+G16</f>
        <v>17.75</v>
      </c>
      <c r="P16" s="1">
        <f>(H16*0.5)+H16</f>
        <v>1.6500000000000001</v>
      </c>
      <c r="Q16" s="1"/>
    </row>
    <row r="17" spans="1:18" ht="16" x14ac:dyDescent="0.2">
      <c r="A17" s="1" t="s">
        <v>352</v>
      </c>
      <c r="B17" s="16" t="s">
        <v>722</v>
      </c>
      <c r="C17" s="1"/>
      <c r="D17" s="1"/>
      <c r="E17" s="1"/>
      <c r="F17" s="1"/>
      <c r="G17" s="1"/>
      <c r="H17" s="1">
        <v>14</v>
      </c>
      <c r="K17" s="1"/>
      <c r="L17" s="1"/>
      <c r="M17" s="1"/>
      <c r="N17" s="1"/>
      <c r="O17" s="1"/>
      <c r="P17" s="1">
        <f>(H17*0.4)+H17</f>
        <v>19.600000000000001</v>
      </c>
      <c r="Q17" s="1"/>
    </row>
    <row r="18" spans="1:18" x14ac:dyDescent="0.2">
      <c r="J18" s="3" t="s">
        <v>14</v>
      </c>
      <c r="K18" s="1">
        <f t="shared" ref="K18:P18" si="1">SUM(K2:K17)</f>
        <v>21.5</v>
      </c>
      <c r="L18" s="1">
        <f t="shared" si="1"/>
        <v>88.56</v>
      </c>
      <c r="M18" s="1">
        <f t="shared" si="1"/>
        <v>99.26</v>
      </c>
      <c r="N18" s="1">
        <f t="shared" si="1"/>
        <v>117.24</v>
      </c>
      <c r="O18" s="1">
        <f t="shared" si="1"/>
        <v>129.72</v>
      </c>
      <c r="P18" s="1">
        <f t="shared" si="1"/>
        <v>157.31</v>
      </c>
      <c r="Q18" s="1"/>
      <c r="R18" s="13"/>
    </row>
    <row r="20" spans="1:18" x14ac:dyDescent="0.2">
      <c r="K20" s="1">
        <v>100</v>
      </c>
      <c r="L20" s="1">
        <v>120</v>
      </c>
      <c r="M20" s="1">
        <v>140</v>
      </c>
      <c r="N20" s="1">
        <v>160</v>
      </c>
      <c r="O20" s="1">
        <v>165</v>
      </c>
      <c r="P20" s="1">
        <v>190</v>
      </c>
      <c r="Q20" s="1"/>
    </row>
    <row r="22" spans="1:18" x14ac:dyDescent="0.2">
      <c r="K22" s="1">
        <f>K18</f>
        <v>21.5</v>
      </c>
      <c r="L22" s="1">
        <f>SUM(K22+L18)</f>
        <v>110.06</v>
      </c>
      <c r="M22" s="1">
        <f>SUM(L22+M18)</f>
        <v>209.32</v>
      </c>
      <c r="N22" s="1">
        <f t="shared" ref="N22:P22" si="2">SUM(M22+N18)</f>
        <v>326.56</v>
      </c>
      <c r="O22" s="1">
        <f t="shared" si="2"/>
        <v>456.28</v>
      </c>
      <c r="P22" s="1">
        <f t="shared" si="2"/>
        <v>613.58999999999992</v>
      </c>
      <c r="Q22" s="1"/>
    </row>
    <row r="23" spans="1:18" x14ac:dyDescent="0.2">
      <c r="I23" s="28"/>
      <c r="J23" s="28"/>
      <c r="K23" s="3"/>
      <c r="L23" s="3"/>
      <c r="M23" s="3"/>
      <c r="N23" s="1"/>
      <c r="O23" s="1"/>
      <c r="P23" s="3"/>
      <c r="Q23" s="3"/>
    </row>
    <row r="24" spans="1:18" ht="16" x14ac:dyDescent="0.2">
      <c r="A24" s="15"/>
      <c r="B24" s="15"/>
      <c r="C24" s="16"/>
      <c r="D24" s="16"/>
      <c r="I24" s="3"/>
      <c r="J24" s="3"/>
      <c r="K24" s="1">
        <v>100</v>
      </c>
      <c r="L24" s="1">
        <f>SUM(K24+L20)</f>
        <v>220</v>
      </c>
      <c r="M24" s="1">
        <f>SUM(L24+M20)</f>
        <v>360</v>
      </c>
      <c r="N24" s="1">
        <f t="shared" ref="N24:P24" si="3">SUM(M24+N20)</f>
        <v>520</v>
      </c>
      <c r="O24" s="1">
        <f t="shared" si="3"/>
        <v>685</v>
      </c>
      <c r="P24" s="1">
        <f t="shared" si="3"/>
        <v>875</v>
      </c>
      <c r="Q24" s="1"/>
    </row>
    <row r="25" spans="1:18" ht="16" x14ac:dyDescent="0.2">
      <c r="A25" s="15"/>
      <c r="B25" s="15"/>
      <c r="C25" s="16"/>
      <c r="D25" s="16"/>
      <c r="I25" s="28"/>
      <c r="J25" s="28"/>
    </row>
    <row r="26" spans="1:18" ht="16" x14ac:dyDescent="0.2">
      <c r="A26" s="15"/>
      <c r="B26" s="15"/>
      <c r="C26" s="16"/>
      <c r="D26" s="16"/>
      <c r="K26" s="4" t="s">
        <v>1563</v>
      </c>
      <c r="L26" s="4" t="s">
        <v>1563</v>
      </c>
      <c r="M26" s="4" t="s">
        <v>1563</v>
      </c>
      <c r="N26" s="4" t="s">
        <v>1563</v>
      </c>
      <c r="O26" s="4" t="s">
        <v>1563</v>
      </c>
      <c r="P26" s="4" t="s">
        <v>1563</v>
      </c>
      <c r="Q26" s="4"/>
    </row>
    <row r="27" spans="1:18" ht="16" x14ac:dyDescent="0.2">
      <c r="A27" s="15"/>
      <c r="B27" s="15"/>
      <c r="C27" s="16"/>
      <c r="D27" s="16"/>
      <c r="K27" s="6">
        <f>(K22/K24)*100</f>
        <v>21.5</v>
      </c>
      <c r="L27" s="6">
        <f>(L22/L24)*100</f>
        <v>50.027272727272731</v>
      </c>
      <c r="M27" s="6">
        <f>(M22/M24)*100</f>
        <v>58.144444444444446</v>
      </c>
      <c r="N27" s="6">
        <f t="shared" ref="N27:P27" si="4">(N22/N24)*100</f>
        <v>62.8</v>
      </c>
      <c r="O27" s="6">
        <f t="shared" si="4"/>
        <v>66.610218978102182</v>
      </c>
      <c r="P27" s="5">
        <f t="shared" si="4"/>
        <v>70.124571428571414</v>
      </c>
      <c r="Q27" s="6"/>
    </row>
    <row r="28" spans="1:18" ht="16" x14ac:dyDescent="0.2">
      <c r="A28" s="15"/>
      <c r="B28" s="15"/>
      <c r="C28" s="16"/>
      <c r="D28" s="16"/>
    </row>
    <row r="29" spans="1:18" ht="16" x14ac:dyDescent="0.2">
      <c r="A29" s="15"/>
      <c r="B29" s="15"/>
      <c r="C29" s="16"/>
      <c r="D29" s="16"/>
    </row>
    <row r="30" spans="1:18" ht="16" x14ac:dyDescent="0.2">
      <c r="A30" s="15"/>
      <c r="B30" s="15"/>
      <c r="C30" s="16"/>
      <c r="D30" s="16"/>
    </row>
    <row r="31" spans="1:18" ht="16" x14ac:dyDescent="0.2">
      <c r="A31" s="15"/>
      <c r="B31" s="15"/>
      <c r="C31" s="16"/>
      <c r="D31" s="16"/>
    </row>
    <row r="32" spans="1:18" ht="16" x14ac:dyDescent="0.2">
      <c r="A32" s="15"/>
      <c r="B32" s="15"/>
      <c r="C32" s="16"/>
      <c r="D32" s="16"/>
    </row>
    <row r="33" spans="1:4" ht="16" x14ac:dyDescent="0.2">
      <c r="A33" s="15"/>
      <c r="B33" s="15"/>
      <c r="C33" s="16"/>
      <c r="D33" s="16"/>
    </row>
    <row r="34" spans="1:4" ht="16" x14ac:dyDescent="0.2">
      <c r="C34" s="16"/>
      <c r="D34" s="16"/>
    </row>
    <row r="35" spans="1:4" ht="16" x14ac:dyDescent="0.2">
      <c r="A35" s="15"/>
      <c r="B35" s="15"/>
      <c r="C35" s="16"/>
      <c r="D35" s="16"/>
    </row>
    <row r="36" spans="1:4" ht="16" x14ac:dyDescent="0.2">
      <c r="A36" s="15"/>
      <c r="B36" s="15"/>
      <c r="C36" s="16"/>
      <c r="D36" s="16"/>
    </row>
    <row r="37" spans="1:4" ht="16" x14ac:dyDescent="0.2">
      <c r="A37" s="15"/>
      <c r="B37" s="15"/>
      <c r="C37" s="16"/>
      <c r="D37" s="16"/>
    </row>
    <row r="38" spans="1:4" ht="16" x14ac:dyDescent="0.2">
      <c r="A38" s="15"/>
      <c r="B38" s="15"/>
      <c r="C38" s="16"/>
      <c r="D38" s="16"/>
    </row>
    <row r="39" spans="1:4" ht="16" x14ac:dyDescent="0.2">
      <c r="A39" s="15"/>
      <c r="B39" s="15"/>
      <c r="C39" s="16"/>
      <c r="D39" s="16"/>
    </row>
    <row r="40" spans="1:4" ht="16" x14ac:dyDescent="0.2">
      <c r="A40" s="15"/>
      <c r="B40" s="15"/>
      <c r="C40" s="16"/>
      <c r="D40" s="16"/>
    </row>
    <row r="41" spans="1:4" ht="16" x14ac:dyDescent="0.2">
      <c r="A41" s="15"/>
      <c r="B41" s="15"/>
      <c r="C41" s="16"/>
      <c r="D41" s="16"/>
    </row>
    <row r="42" spans="1:4" ht="16" x14ac:dyDescent="0.2">
      <c r="A42" s="15"/>
      <c r="B42" s="15"/>
      <c r="C42" s="16"/>
      <c r="D42" s="16"/>
    </row>
    <row r="43" spans="1:4" ht="16" x14ac:dyDescent="0.2">
      <c r="A43" s="15"/>
      <c r="B43" s="15"/>
      <c r="C43" s="16"/>
      <c r="D43" s="16"/>
    </row>
    <row r="44" spans="1:4" ht="16" x14ac:dyDescent="0.2">
      <c r="A44" s="15"/>
      <c r="B44" s="15"/>
      <c r="C44" s="16"/>
      <c r="D44" s="16"/>
    </row>
    <row r="45" spans="1:4" ht="16" x14ac:dyDescent="0.2">
      <c r="A45" s="15"/>
      <c r="B45" s="15"/>
      <c r="C45" s="16"/>
      <c r="D45" s="16"/>
    </row>
    <row r="46" spans="1:4" ht="16" x14ac:dyDescent="0.2">
      <c r="A46" s="15"/>
      <c r="B46" s="15"/>
      <c r="C46" s="16"/>
      <c r="D46" s="16"/>
    </row>
  </sheetData>
  <pageMargins left="0.7" right="0.7" top="0.75" bottom="0.75" header="0.3" footer="0.3"/>
  <pageSetup paperSize="9" orientation="portrait" horizontalDpi="4294967292" verticalDpi="4294967292"/>
  <ignoredErrors>
    <ignoredError sqref="K18:P18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BI39"/>
  <sheetViews>
    <sheetView topLeftCell="W1" workbookViewId="0">
      <selection activeCell="AG22" sqref="AG22:BI22"/>
    </sheetView>
  </sheetViews>
  <sheetFormatPr baseColWidth="10" defaultRowHeight="15" x14ac:dyDescent="0.2"/>
  <cols>
    <col min="2" max="2" width="24" customWidth="1"/>
  </cols>
  <sheetData>
    <row r="1" spans="1:61" ht="16" x14ac:dyDescent="0.2">
      <c r="A1" s="3" t="s">
        <v>15</v>
      </c>
      <c r="B1" s="24" t="s">
        <v>681</v>
      </c>
      <c r="C1" s="3">
        <v>1918</v>
      </c>
      <c r="D1" s="3">
        <v>1922</v>
      </c>
      <c r="E1" s="3">
        <v>1923</v>
      </c>
      <c r="F1" s="3">
        <v>1924</v>
      </c>
      <c r="G1" s="3">
        <v>1929</v>
      </c>
      <c r="H1" s="3">
        <v>1931</v>
      </c>
      <c r="I1" s="3">
        <v>1935</v>
      </c>
      <c r="J1" s="3">
        <v>1945</v>
      </c>
      <c r="K1" s="3">
        <v>1950</v>
      </c>
      <c r="L1" s="3">
        <v>1951</v>
      </c>
      <c r="M1" s="3">
        <v>1955</v>
      </c>
      <c r="N1" s="3">
        <v>1959</v>
      </c>
      <c r="O1" s="3">
        <v>1964</v>
      </c>
      <c r="P1" s="3">
        <v>1966</v>
      </c>
      <c r="Q1" s="3">
        <v>1970</v>
      </c>
      <c r="R1" s="3" t="s">
        <v>305</v>
      </c>
      <c r="S1" s="3" t="s">
        <v>306</v>
      </c>
      <c r="T1" s="3">
        <v>1979</v>
      </c>
      <c r="U1" s="3">
        <v>1983</v>
      </c>
      <c r="V1" s="3">
        <v>1987</v>
      </c>
      <c r="W1" s="3">
        <v>1992</v>
      </c>
      <c r="X1" s="3">
        <v>1997</v>
      </c>
      <c r="Y1" s="3">
        <v>2001</v>
      </c>
      <c r="Z1" s="3">
        <v>2005</v>
      </c>
      <c r="AA1" s="3">
        <v>2010</v>
      </c>
      <c r="AB1" s="3">
        <v>2015</v>
      </c>
      <c r="AC1" s="3">
        <v>2017</v>
      </c>
      <c r="AD1" s="3">
        <v>2019</v>
      </c>
      <c r="AE1" s="3">
        <v>2024</v>
      </c>
      <c r="AF1" s="3"/>
      <c r="AG1" s="3">
        <v>1918</v>
      </c>
      <c r="AH1" s="3">
        <v>1922</v>
      </c>
      <c r="AI1" s="3">
        <v>1923</v>
      </c>
      <c r="AJ1" s="3">
        <v>1924</v>
      </c>
      <c r="AK1" s="3">
        <v>1929</v>
      </c>
      <c r="AL1" s="3">
        <v>1931</v>
      </c>
      <c r="AM1" s="3">
        <v>1935</v>
      </c>
      <c r="AN1" s="3">
        <v>1945</v>
      </c>
      <c r="AO1" s="3">
        <v>1950</v>
      </c>
      <c r="AP1" s="3">
        <v>1951</v>
      </c>
      <c r="AQ1" s="3">
        <v>1955</v>
      </c>
      <c r="AR1" s="3">
        <v>1959</v>
      </c>
      <c r="AS1" s="3">
        <v>1964</v>
      </c>
      <c r="AT1" s="3">
        <v>1966</v>
      </c>
      <c r="AU1" s="3">
        <v>1970</v>
      </c>
      <c r="AV1" s="3" t="s">
        <v>305</v>
      </c>
      <c r="AW1" s="3" t="s">
        <v>306</v>
      </c>
      <c r="AX1" s="3">
        <v>1979</v>
      </c>
      <c r="AY1" s="3">
        <v>1983</v>
      </c>
      <c r="AZ1" s="3">
        <v>1987</v>
      </c>
      <c r="BA1" s="3">
        <v>1992</v>
      </c>
      <c r="BB1" s="3">
        <v>1997</v>
      </c>
      <c r="BC1" s="3">
        <v>2001</v>
      </c>
      <c r="BD1" s="3">
        <v>2005</v>
      </c>
      <c r="BE1" s="3">
        <v>2010</v>
      </c>
      <c r="BF1" s="3">
        <v>2015</v>
      </c>
      <c r="BG1" s="3">
        <v>2017</v>
      </c>
      <c r="BH1" s="3">
        <v>2019</v>
      </c>
      <c r="BI1" s="3">
        <v>2024</v>
      </c>
    </row>
    <row r="2" spans="1:61" ht="16" x14ac:dyDescent="0.2">
      <c r="A2" s="1" t="s">
        <v>307</v>
      </c>
      <c r="B2" s="16" t="s">
        <v>696</v>
      </c>
      <c r="C2" s="1">
        <v>38.4</v>
      </c>
      <c r="D2" s="1">
        <v>38.5</v>
      </c>
      <c r="E2" s="1">
        <v>38</v>
      </c>
      <c r="F2" s="1">
        <v>46.8</v>
      </c>
      <c r="G2" s="1">
        <v>38.1</v>
      </c>
      <c r="H2" s="1">
        <v>55</v>
      </c>
      <c r="I2" s="1">
        <v>47.8</v>
      </c>
      <c r="J2" s="1">
        <v>36.200000000000003</v>
      </c>
      <c r="K2" s="1">
        <v>35.200000000000003</v>
      </c>
      <c r="L2" s="1">
        <v>44.3</v>
      </c>
      <c r="M2" s="1">
        <v>49.7</v>
      </c>
      <c r="N2" s="1">
        <v>49.4</v>
      </c>
      <c r="O2" s="1">
        <v>43.4</v>
      </c>
      <c r="P2" s="1">
        <v>41.9</v>
      </c>
      <c r="Q2" s="1">
        <v>46.4</v>
      </c>
      <c r="R2" s="1">
        <v>37.9</v>
      </c>
      <c r="S2" s="1">
        <v>35.799999999999997</v>
      </c>
      <c r="T2" s="1">
        <v>43.9</v>
      </c>
      <c r="U2" s="1">
        <v>42.4</v>
      </c>
      <c r="V2" s="1">
        <v>42.2</v>
      </c>
      <c r="W2" s="1">
        <v>41.9</v>
      </c>
      <c r="X2" s="1">
        <v>30.7</v>
      </c>
      <c r="Y2" s="1">
        <v>31.7</v>
      </c>
      <c r="Z2" s="1">
        <v>32.4</v>
      </c>
      <c r="AA2" s="1">
        <v>36.1</v>
      </c>
      <c r="AB2" s="1">
        <v>36.799999999999997</v>
      </c>
      <c r="AC2" s="1">
        <v>42.3</v>
      </c>
      <c r="AD2" s="16">
        <v>43.6</v>
      </c>
      <c r="AE2" s="16">
        <v>23.7</v>
      </c>
      <c r="AF2" s="16"/>
      <c r="AG2" s="1">
        <v>38.4</v>
      </c>
      <c r="AH2" s="1">
        <f>(D2*0.2)+D2</f>
        <v>46.2</v>
      </c>
      <c r="AI2" s="1">
        <f>(E2*0.25)+E2</f>
        <v>47.5</v>
      </c>
      <c r="AJ2" s="1">
        <f>(F2*0.3)+F2</f>
        <v>60.839999999999996</v>
      </c>
      <c r="AK2" s="1">
        <f>(G2*0.55)+G2</f>
        <v>59.055000000000007</v>
      </c>
      <c r="AL2" s="1">
        <f>(H2*0.65)+H2</f>
        <v>90.75</v>
      </c>
      <c r="AM2" s="1">
        <f>(I2*0.85)+I2</f>
        <v>88.429999999999993</v>
      </c>
      <c r="AN2" s="1">
        <f>(J2*1.35)+J2</f>
        <v>85.070000000000007</v>
      </c>
      <c r="AO2" s="1">
        <f>(K2*1.6)+K2</f>
        <v>91.52000000000001</v>
      </c>
      <c r="AP2" s="1">
        <f>(L2*1.65)+L2</f>
        <v>117.39499999999998</v>
      </c>
      <c r="AQ2" s="1">
        <f>(M2*1.85)+M2</f>
        <v>141.64500000000001</v>
      </c>
      <c r="AR2" s="1">
        <f>(N2*2.05)+N2</f>
        <v>150.66999999999999</v>
      </c>
      <c r="AS2" s="1">
        <f>(O2*2.3)+O2</f>
        <v>143.22</v>
      </c>
      <c r="AT2" s="1">
        <f>(P2*2.4)+P2</f>
        <v>142.45999999999998</v>
      </c>
      <c r="AU2" s="1">
        <f>(Q2*2.6)+Q2</f>
        <v>167.04</v>
      </c>
      <c r="AV2" s="1">
        <f>(R2*2.8)+R2</f>
        <v>144.01999999999998</v>
      </c>
      <c r="AW2" s="1">
        <f>(S2*2.8)+S2</f>
        <v>136.03999999999996</v>
      </c>
      <c r="AX2" s="1">
        <f>(T2*3.05)+T2</f>
        <v>177.79499999999999</v>
      </c>
      <c r="AY2" s="1">
        <f>(U2*3.25)+U2</f>
        <v>180.2</v>
      </c>
      <c r="AZ2" s="1">
        <f>(V2*3.45)+V2</f>
        <v>187.79000000000002</v>
      </c>
      <c r="BA2" s="1">
        <f>(W2*3.7)+W2</f>
        <v>196.93</v>
      </c>
      <c r="BB2" s="1">
        <f>(X2*3.95)+X2</f>
        <v>151.965</v>
      </c>
      <c r="BC2" s="1">
        <f>(Y2*4.15)+Y2</f>
        <v>163.255</v>
      </c>
      <c r="BD2" s="1">
        <f>(Z2*4.35)+Z2</f>
        <v>173.33999999999997</v>
      </c>
      <c r="BE2" s="1">
        <f>(AA2*4.6)+AA2</f>
        <v>202.16</v>
      </c>
      <c r="BF2" s="1">
        <f>(AB2*4.85)+AB2</f>
        <v>215.27999999999997</v>
      </c>
      <c r="BG2" s="1">
        <f>(AC2*4.95)+AC2</f>
        <v>251.685</v>
      </c>
      <c r="BH2" s="1">
        <f>(AD2*5.05)+AD2</f>
        <v>263.78000000000003</v>
      </c>
      <c r="BI2" s="1">
        <f>(AE2*5.3)+AE2</f>
        <v>149.30999999999997</v>
      </c>
    </row>
    <row r="3" spans="1:61" ht="16" x14ac:dyDescent="0.2">
      <c r="A3" s="8" t="s">
        <v>308</v>
      </c>
      <c r="B3" s="16" t="s">
        <v>697</v>
      </c>
      <c r="C3" s="1">
        <v>21.2</v>
      </c>
      <c r="D3" s="1">
        <v>29.7</v>
      </c>
      <c r="E3" s="1">
        <v>30.7</v>
      </c>
      <c r="F3" s="1">
        <v>33.299999999999997</v>
      </c>
      <c r="G3" s="1">
        <v>37.1</v>
      </c>
      <c r="H3" s="1">
        <v>29.4</v>
      </c>
      <c r="I3" s="1">
        <v>38</v>
      </c>
      <c r="J3" s="1">
        <v>47.7</v>
      </c>
      <c r="K3" s="1">
        <v>46.1</v>
      </c>
      <c r="L3" s="1">
        <v>48.8</v>
      </c>
      <c r="M3" s="1">
        <v>46.4</v>
      </c>
      <c r="N3" s="1">
        <v>43.8</v>
      </c>
      <c r="O3" s="1">
        <v>44.1</v>
      </c>
      <c r="P3" s="1">
        <v>48</v>
      </c>
      <c r="Q3" s="1">
        <v>43.1</v>
      </c>
      <c r="R3" s="1">
        <v>37.200000000000003</v>
      </c>
      <c r="S3" s="1">
        <v>39.200000000000003</v>
      </c>
      <c r="T3" s="1">
        <v>36.9</v>
      </c>
      <c r="U3" s="1">
        <v>27.6</v>
      </c>
      <c r="V3" s="1">
        <v>30.8</v>
      </c>
      <c r="W3" s="1">
        <v>34.4</v>
      </c>
      <c r="X3" s="1">
        <v>43.2</v>
      </c>
      <c r="Y3" s="1">
        <v>40.700000000000003</v>
      </c>
      <c r="Z3" s="1">
        <v>35.200000000000003</v>
      </c>
      <c r="AA3" s="1">
        <v>29</v>
      </c>
      <c r="AB3" s="1">
        <v>30.4</v>
      </c>
      <c r="AC3" s="1">
        <v>40</v>
      </c>
      <c r="AD3" s="16">
        <v>32.1</v>
      </c>
      <c r="AE3" s="16">
        <v>33.700000000000003</v>
      </c>
      <c r="AF3" s="16"/>
      <c r="AG3" s="1">
        <v>21.2</v>
      </c>
      <c r="AH3" s="1">
        <f>(D3*0.2)+D3</f>
        <v>35.64</v>
      </c>
      <c r="AI3" s="1">
        <f t="shared" ref="AI3:AI4" si="0">(E3*0.25)+E3</f>
        <v>38.375</v>
      </c>
      <c r="AJ3" s="1">
        <f t="shared" ref="AJ3:AJ11" si="1">(F3*0.3)+F3</f>
        <v>43.289999999999992</v>
      </c>
      <c r="AK3" s="1">
        <f t="shared" ref="AK3:AK4" si="2">(G3*0.55)+G3</f>
        <v>57.505000000000003</v>
      </c>
      <c r="AL3" s="1">
        <f t="shared" ref="AL3:AL4" si="3">(H3*0.65)+H3</f>
        <v>48.51</v>
      </c>
      <c r="AM3" s="1">
        <f t="shared" ref="AM3:AM4" si="4">(I3*0.85)+I3</f>
        <v>70.3</v>
      </c>
      <c r="AN3" s="1">
        <f t="shared" ref="AN3:AN4" si="5">(J3*1.35)+J3</f>
        <v>112.09500000000001</v>
      </c>
      <c r="AO3" s="1">
        <f t="shared" ref="AO3:AO4" si="6">(K3*1.6)+K3</f>
        <v>119.86000000000001</v>
      </c>
      <c r="AP3" s="1">
        <f t="shared" ref="AP3:AP4" si="7">(L3*1.65)+L3</f>
        <v>129.32</v>
      </c>
      <c r="AQ3" s="1">
        <f t="shared" ref="AQ3:AQ11" si="8">(M3*1.85)+M3</f>
        <v>132.24</v>
      </c>
      <c r="AR3" s="1">
        <f t="shared" ref="AR3:AR11" si="9">(N3*2.05)+N3</f>
        <v>133.58999999999997</v>
      </c>
      <c r="AS3" s="1">
        <f t="shared" ref="AS3:AS4" si="10">(O3*2.3)+O3</f>
        <v>145.53</v>
      </c>
      <c r="AT3" s="1">
        <f t="shared" ref="AT3:AT4" si="11">(P3*2.4)+P3</f>
        <v>163.19999999999999</v>
      </c>
      <c r="AU3" s="1">
        <f t="shared" ref="AU3:AU4" si="12">(Q3*2.6)+Q3</f>
        <v>155.16</v>
      </c>
      <c r="AV3" s="1">
        <f t="shared" ref="AV3:AV4" si="13">(R3*2.8)+R3</f>
        <v>141.36000000000001</v>
      </c>
      <c r="AW3" s="1">
        <f t="shared" ref="AW3:AW4" si="14">(S3*2.8)+S3</f>
        <v>148.96</v>
      </c>
      <c r="AX3" s="1">
        <f t="shared" ref="AX3:AX4" si="15">(T3*3.05)+T3</f>
        <v>149.44499999999999</v>
      </c>
      <c r="AY3" s="1">
        <f>(U3*3.25)+U3</f>
        <v>117.30000000000001</v>
      </c>
      <c r="AZ3" s="1">
        <f>(V3*3.45)+V3</f>
        <v>137.06</v>
      </c>
      <c r="BA3" s="1">
        <f>(W3*3.7)+W3</f>
        <v>161.68</v>
      </c>
      <c r="BB3" s="1">
        <f>(X3*3.95)+X3</f>
        <v>213.84000000000003</v>
      </c>
      <c r="BC3" s="1">
        <f>(Y3*4.15)+Y3</f>
        <v>209.60500000000002</v>
      </c>
      <c r="BD3" s="1">
        <f>(Z3*4.35)+Z3</f>
        <v>188.32</v>
      </c>
      <c r="BE3" s="1">
        <f>(AA3*4.6)+AA3</f>
        <v>162.39999999999998</v>
      </c>
      <c r="BF3" s="1">
        <f>(AB3*4.85)+AB3</f>
        <v>177.83999999999997</v>
      </c>
      <c r="BG3" s="1">
        <f t="shared" ref="BG3" si="16">(AC3*4.95)+AC3</f>
        <v>238</v>
      </c>
      <c r="BH3" s="1">
        <f>(AD3*5.05)+AD3</f>
        <v>194.20499999999998</v>
      </c>
      <c r="BI3" s="1">
        <f t="shared" ref="BI3" si="17">(AE3*5.3)+AE3</f>
        <v>212.31</v>
      </c>
    </row>
    <row r="4" spans="1:61" ht="16" x14ac:dyDescent="0.2">
      <c r="A4" s="8" t="s">
        <v>309</v>
      </c>
      <c r="B4" s="16" t="s">
        <v>698</v>
      </c>
      <c r="C4" s="1">
        <v>13</v>
      </c>
      <c r="D4" s="1">
        <v>18.899999999999999</v>
      </c>
      <c r="E4" s="1">
        <v>29.7</v>
      </c>
      <c r="F4" s="1">
        <v>17.8</v>
      </c>
      <c r="G4" s="1">
        <v>23.6</v>
      </c>
      <c r="H4" s="1">
        <v>6.5</v>
      </c>
      <c r="I4" s="1">
        <v>6.7</v>
      </c>
      <c r="J4" s="1">
        <v>9</v>
      </c>
      <c r="K4" s="1">
        <v>9.1</v>
      </c>
      <c r="L4" s="1">
        <v>2.6</v>
      </c>
      <c r="M4" s="1">
        <v>2.7</v>
      </c>
      <c r="N4" s="1">
        <v>5.9</v>
      </c>
      <c r="O4" s="1">
        <v>11.2</v>
      </c>
      <c r="P4" s="1">
        <v>8.5</v>
      </c>
      <c r="Q4" s="1">
        <v>7.5</v>
      </c>
      <c r="R4" s="1">
        <v>19.3</v>
      </c>
      <c r="S4" s="1">
        <v>18.3</v>
      </c>
      <c r="T4" s="1">
        <v>13.8</v>
      </c>
      <c r="U4" s="1"/>
      <c r="V4" s="1"/>
      <c r="W4" s="1"/>
      <c r="AD4" s="16"/>
      <c r="AE4" s="16"/>
      <c r="AF4" s="16"/>
      <c r="AG4" s="1">
        <v>13</v>
      </c>
      <c r="AH4" s="1">
        <f>(D4*0.2)+D4</f>
        <v>22.68</v>
      </c>
      <c r="AI4" s="1">
        <f t="shared" si="0"/>
        <v>37.125</v>
      </c>
      <c r="AJ4" s="1">
        <f t="shared" si="1"/>
        <v>23.14</v>
      </c>
      <c r="AK4" s="1">
        <f t="shared" si="2"/>
        <v>36.580000000000005</v>
      </c>
      <c r="AL4" s="1">
        <f t="shared" si="3"/>
        <v>10.725000000000001</v>
      </c>
      <c r="AM4" s="1">
        <f t="shared" si="4"/>
        <v>12.395</v>
      </c>
      <c r="AN4" s="1">
        <f t="shared" si="5"/>
        <v>21.15</v>
      </c>
      <c r="AO4" s="1">
        <f t="shared" si="6"/>
        <v>23.66</v>
      </c>
      <c r="AP4" s="1">
        <f t="shared" si="7"/>
        <v>6.8900000000000006</v>
      </c>
      <c r="AQ4" s="1">
        <f t="shared" si="8"/>
        <v>7.6950000000000012</v>
      </c>
      <c r="AR4" s="1">
        <f t="shared" si="9"/>
        <v>17.994999999999997</v>
      </c>
      <c r="AS4" s="1">
        <f t="shared" si="10"/>
        <v>36.959999999999994</v>
      </c>
      <c r="AT4" s="1">
        <f t="shared" si="11"/>
        <v>28.9</v>
      </c>
      <c r="AU4" s="1">
        <f t="shared" si="12"/>
        <v>27</v>
      </c>
      <c r="AV4" s="1">
        <f t="shared" si="13"/>
        <v>73.34</v>
      </c>
      <c r="AW4" s="1">
        <f t="shared" si="14"/>
        <v>69.540000000000006</v>
      </c>
      <c r="AX4" s="1">
        <f t="shared" si="15"/>
        <v>55.89</v>
      </c>
      <c r="AY4" s="1"/>
      <c r="AZ4" s="1"/>
      <c r="BA4" s="1"/>
      <c r="BB4" s="1"/>
      <c r="BC4" s="1"/>
      <c r="BD4" s="1"/>
      <c r="BE4" s="1"/>
      <c r="BF4" s="1"/>
      <c r="BG4" s="1"/>
      <c r="BI4" s="1"/>
    </row>
    <row r="5" spans="1:61" ht="16" x14ac:dyDescent="0.2">
      <c r="A5" s="8" t="s">
        <v>285</v>
      </c>
      <c r="B5" s="16" t="s">
        <v>699</v>
      </c>
      <c r="H5" s="1">
        <v>3.7</v>
      </c>
      <c r="I5" s="1">
        <v>3.7</v>
      </c>
      <c r="J5" s="1">
        <v>2.9</v>
      </c>
      <c r="K5" s="1">
        <v>3.4</v>
      </c>
      <c r="L5" s="1">
        <v>3.7</v>
      </c>
      <c r="R5" s="1"/>
      <c r="S5" s="1"/>
      <c r="T5" s="1"/>
      <c r="U5" s="1"/>
      <c r="V5" s="1"/>
      <c r="AD5" s="16"/>
      <c r="AE5" s="16"/>
      <c r="AF5" s="16"/>
      <c r="AG5" s="1"/>
      <c r="AH5" s="1"/>
      <c r="AI5" s="1"/>
      <c r="AJ5" s="1"/>
      <c r="AK5" s="1"/>
      <c r="AL5" s="1">
        <v>3.7</v>
      </c>
      <c r="AM5" s="1">
        <f>(I5*0.2)+I5</f>
        <v>4.4400000000000004</v>
      </c>
      <c r="AN5" s="1">
        <f>(J5*0.7)+J5</f>
        <v>4.93</v>
      </c>
      <c r="AO5" s="1">
        <f>(K5*0.95)+K5</f>
        <v>6.63</v>
      </c>
      <c r="AP5" s="1">
        <f>(L5*1)+L5</f>
        <v>7.4</v>
      </c>
      <c r="AQ5" s="1"/>
      <c r="AR5" s="1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"/>
      <c r="BI5" s="1"/>
    </row>
    <row r="6" spans="1:61" ht="16" x14ac:dyDescent="0.2">
      <c r="A6" s="21" t="s">
        <v>614</v>
      </c>
      <c r="B6" s="16" t="s">
        <v>700</v>
      </c>
      <c r="C6" s="1">
        <v>12.6</v>
      </c>
      <c r="D6" s="1">
        <v>9.9</v>
      </c>
      <c r="H6" s="1"/>
      <c r="I6" s="1"/>
      <c r="J6" s="1"/>
      <c r="K6" s="1"/>
      <c r="L6" s="1"/>
      <c r="R6" s="1"/>
      <c r="S6" s="1"/>
      <c r="T6" s="1"/>
      <c r="U6" s="1"/>
      <c r="V6" s="1"/>
      <c r="AD6" s="16"/>
      <c r="AE6" s="16"/>
      <c r="AF6" s="16"/>
      <c r="AG6" s="1">
        <v>12.6</v>
      </c>
      <c r="AH6" s="1">
        <f t="shared" ref="AH6" si="18">(D6*0.2)+D6</f>
        <v>11.88</v>
      </c>
      <c r="AI6" s="1"/>
      <c r="AJ6" s="1"/>
      <c r="AK6" s="1"/>
      <c r="AL6" s="1"/>
      <c r="AM6" s="1"/>
      <c r="AN6" s="1"/>
      <c r="AO6" s="1"/>
      <c r="AP6" s="1"/>
      <c r="AQ6" s="1"/>
      <c r="AR6" s="1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"/>
      <c r="BI6" s="1"/>
    </row>
    <row r="7" spans="1:61" ht="16" x14ac:dyDescent="0.2">
      <c r="A7" s="21" t="s">
        <v>612</v>
      </c>
      <c r="B7" s="16" t="s">
        <v>701</v>
      </c>
      <c r="H7" s="1"/>
      <c r="I7" s="1"/>
      <c r="J7" s="1"/>
      <c r="K7" s="1"/>
      <c r="L7" s="1"/>
      <c r="R7" s="1"/>
      <c r="S7" s="1"/>
      <c r="T7" s="1"/>
      <c r="U7" s="1"/>
      <c r="V7" s="1"/>
      <c r="X7" s="1">
        <v>0.3</v>
      </c>
      <c r="Y7" s="1">
        <v>1.5</v>
      </c>
      <c r="Z7" s="1">
        <v>2.2000000000000002</v>
      </c>
      <c r="AA7" s="1">
        <v>3.1</v>
      </c>
      <c r="AB7" s="1">
        <v>12.6</v>
      </c>
      <c r="AC7" s="1">
        <v>1.8</v>
      </c>
      <c r="AD7" s="16">
        <v>0.1</v>
      </c>
      <c r="AE7" s="16">
        <v>0</v>
      </c>
      <c r="AF7" s="1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2"/>
      <c r="AT7" s="12"/>
      <c r="AU7" s="12"/>
      <c r="AV7" s="12"/>
      <c r="AW7" s="12"/>
      <c r="AX7" s="12"/>
      <c r="AY7" s="12"/>
      <c r="AZ7" s="12"/>
      <c r="BA7" s="12"/>
      <c r="BB7" s="1">
        <v>0.3</v>
      </c>
      <c r="BC7" s="1">
        <f>(Y7*0.2)+Y7</f>
        <v>1.8</v>
      </c>
      <c r="BD7" s="1">
        <f>(Z7*0.4)+Z7</f>
        <v>3.08</v>
      </c>
      <c r="BE7" s="1">
        <f>(AA7*0.65)+AA7</f>
        <v>5.1150000000000002</v>
      </c>
      <c r="BF7" s="1">
        <f>(AB7*0.9)+AB7</f>
        <v>23.939999999999998</v>
      </c>
      <c r="BG7" s="1">
        <f>(AC7*1)+AC7</f>
        <v>3.6</v>
      </c>
      <c r="BH7" s="1">
        <f>(AD7*1.1)+AD7</f>
        <v>0.21000000000000002</v>
      </c>
      <c r="BI7" s="1">
        <f>(AE7*1.35)+AE7</f>
        <v>0</v>
      </c>
    </row>
    <row r="8" spans="1:61" ht="16" x14ac:dyDescent="0.2">
      <c r="A8" s="21" t="s">
        <v>1533</v>
      </c>
      <c r="B8" s="16" t="s">
        <v>1532</v>
      </c>
      <c r="H8" s="1"/>
      <c r="I8" s="1"/>
      <c r="J8" s="1"/>
      <c r="K8" s="1"/>
      <c r="L8" s="1"/>
      <c r="R8" s="1"/>
      <c r="S8" s="1"/>
      <c r="T8" s="1"/>
      <c r="U8" s="1"/>
      <c r="V8" s="1"/>
      <c r="X8" s="1"/>
      <c r="Y8" s="1"/>
      <c r="Z8" s="1"/>
      <c r="AA8" s="1"/>
      <c r="AB8" s="1"/>
      <c r="AC8" s="1"/>
      <c r="AD8" s="16">
        <v>2</v>
      </c>
      <c r="AE8" s="24">
        <v>14.3</v>
      </c>
      <c r="AF8" s="16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2"/>
      <c r="AT8" s="12"/>
      <c r="AU8" s="12"/>
      <c r="AV8" s="12"/>
      <c r="AW8" s="12"/>
      <c r="AX8" s="12"/>
      <c r="AY8" s="12"/>
      <c r="AZ8" s="12"/>
      <c r="BA8" s="12"/>
      <c r="BB8" s="1"/>
      <c r="BC8" s="1"/>
      <c r="BD8" s="1"/>
      <c r="BE8" s="1"/>
      <c r="BF8" s="1"/>
      <c r="BG8" s="1"/>
      <c r="BH8" s="1">
        <v>2</v>
      </c>
      <c r="BI8" s="1">
        <f>(AE8*0.25)+AE8</f>
        <v>17.875</v>
      </c>
    </row>
    <row r="9" spans="1:61" ht="16" x14ac:dyDescent="0.2">
      <c r="A9" s="21" t="s">
        <v>358</v>
      </c>
      <c r="B9" s="16" t="s">
        <v>773</v>
      </c>
      <c r="H9" s="1"/>
      <c r="I9" s="1"/>
      <c r="J9" s="1"/>
      <c r="K9" s="1"/>
      <c r="L9" s="1"/>
      <c r="R9" s="1"/>
      <c r="S9" s="1"/>
      <c r="T9" s="1"/>
      <c r="U9" s="1"/>
      <c r="V9" s="1"/>
      <c r="W9" s="1">
        <v>0.5</v>
      </c>
      <c r="X9" s="1">
        <v>0.2</v>
      </c>
      <c r="Y9" s="1">
        <v>0.6</v>
      </c>
      <c r="Z9" s="1">
        <v>1</v>
      </c>
      <c r="AA9" s="1">
        <v>0.9</v>
      </c>
      <c r="AB9" s="1">
        <v>3.8</v>
      </c>
      <c r="AC9" s="1">
        <v>1.6</v>
      </c>
      <c r="AD9" s="16">
        <v>2.7</v>
      </c>
      <c r="AE9" s="16">
        <v>6.4</v>
      </c>
      <c r="AF9" s="16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2"/>
      <c r="AT9" s="12"/>
      <c r="AU9" s="12"/>
      <c r="AV9" s="12"/>
      <c r="AW9" s="12"/>
      <c r="AX9" s="12"/>
      <c r="AY9" s="12"/>
      <c r="AZ9" s="12"/>
      <c r="BA9" s="1">
        <v>0.5</v>
      </c>
      <c r="BB9" s="1">
        <f>(X9*0.25)+X9</f>
        <v>0.25</v>
      </c>
      <c r="BC9" s="1">
        <f>(Y9*0.45)+Y9</f>
        <v>0.87</v>
      </c>
      <c r="BD9" s="1">
        <f>(Z9*0.65)+Z9</f>
        <v>1.65</v>
      </c>
      <c r="BE9" s="1">
        <f>(AA9*0.9)+AA9</f>
        <v>1.71</v>
      </c>
      <c r="BF9" s="1">
        <f>(AB9*1.15)+AB9</f>
        <v>8.1699999999999982</v>
      </c>
      <c r="BG9" s="1">
        <f>(AC9*1.25)+AC9</f>
        <v>3.6</v>
      </c>
      <c r="BH9" s="1">
        <f>(AD9*1.35)+AD9</f>
        <v>6.3450000000000006</v>
      </c>
      <c r="BI9" s="1">
        <f>(AE9*1.6)+AE9</f>
        <v>16.64</v>
      </c>
    </row>
    <row r="10" spans="1:61" ht="16" x14ac:dyDescent="0.2">
      <c r="A10" s="21" t="s">
        <v>613</v>
      </c>
      <c r="B10" s="16" t="s">
        <v>702</v>
      </c>
      <c r="H10" s="1"/>
      <c r="I10" s="1"/>
      <c r="J10" s="1"/>
      <c r="K10" s="1">
        <v>4.2</v>
      </c>
      <c r="L10" s="1"/>
      <c r="R10" s="1"/>
      <c r="S10" s="1"/>
      <c r="T10" s="1"/>
      <c r="U10" s="1"/>
      <c r="V10" s="1"/>
      <c r="AD10" s="16"/>
      <c r="AE10" s="16"/>
      <c r="AF10" s="16"/>
      <c r="AG10" s="1"/>
      <c r="AH10" s="1"/>
      <c r="AI10" s="1"/>
      <c r="AJ10" s="1"/>
      <c r="AK10" s="1"/>
      <c r="AL10" s="1"/>
      <c r="AM10" s="1"/>
      <c r="AN10" s="1"/>
      <c r="AO10" s="1">
        <v>4.2</v>
      </c>
      <c r="AP10" s="1"/>
      <c r="AQ10" s="1"/>
      <c r="AR10" s="1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"/>
    </row>
    <row r="11" spans="1:61" ht="16" x14ac:dyDescent="0.2">
      <c r="A11" s="8" t="s">
        <v>283</v>
      </c>
      <c r="B11" s="16" t="s">
        <v>703</v>
      </c>
      <c r="C11" s="1">
        <v>4.5999999999999996</v>
      </c>
      <c r="F11" s="1">
        <v>0.2</v>
      </c>
      <c r="K11" s="1">
        <v>0.1</v>
      </c>
      <c r="M11" s="1">
        <v>0.6</v>
      </c>
      <c r="N11" s="1">
        <v>0.2</v>
      </c>
      <c r="O11" s="1"/>
      <c r="P11" s="1"/>
      <c r="Q11" s="1"/>
      <c r="R11" s="1"/>
      <c r="S11" s="1"/>
      <c r="T11" s="1"/>
      <c r="AD11" s="16"/>
      <c r="AE11" s="16"/>
      <c r="AF11" s="16"/>
      <c r="AG11" s="1">
        <v>4.5999999999999996</v>
      </c>
      <c r="AH11" s="1"/>
      <c r="AI11" s="1"/>
      <c r="AJ11" s="1">
        <f t="shared" si="1"/>
        <v>0.26</v>
      </c>
      <c r="AK11" s="1"/>
      <c r="AL11" s="1"/>
      <c r="AM11" s="1"/>
      <c r="AN11" s="1"/>
      <c r="AO11" s="1">
        <f t="shared" ref="AO11" si="19">(K11*1.6)+K11</f>
        <v>0.26</v>
      </c>
      <c r="AP11" s="1"/>
      <c r="AQ11" s="1">
        <f t="shared" si="8"/>
        <v>1.71</v>
      </c>
      <c r="AR11" s="1">
        <f t="shared" si="9"/>
        <v>0.61</v>
      </c>
      <c r="AS11" s="1"/>
      <c r="AT11" s="1"/>
      <c r="AU11" s="1"/>
      <c r="AV11" s="1"/>
      <c r="AW11" s="1"/>
      <c r="AX11" s="1"/>
      <c r="BG11" s="1"/>
    </row>
    <row r="12" spans="1:61" ht="16" x14ac:dyDescent="0.2">
      <c r="A12" s="8" t="s">
        <v>100</v>
      </c>
      <c r="B12" s="16" t="s">
        <v>704</v>
      </c>
      <c r="F12" s="1"/>
      <c r="I12" s="1">
        <v>0.2</v>
      </c>
      <c r="J12" s="1">
        <v>0.1</v>
      </c>
      <c r="K12" s="1"/>
      <c r="L12" s="1"/>
      <c r="M12" s="1">
        <v>0.1</v>
      </c>
      <c r="N12" s="1">
        <v>0.1</v>
      </c>
      <c r="O12" s="1">
        <v>0.2</v>
      </c>
      <c r="P12" s="1">
        <v>0.5</v>
      </c>
      <c r="Q12" s="1">
        <v>1.1000000000000001</v>
      </c>
      <c r="R12" s="1">
        <v>2</v>
      </c>
      <c r="S12" s="1">
        <v>2.9</v>
      </c>
      <c r="T12" s="1">
        <v>1.6</v>
      </c>
      <c r="U12" s="1">
        <v>1.1000000000000001</v>
      </c>
      <c r="V12" s="1">
        <v>1.3</v>
      </c>
      <c r="W12" s="1">
        <v>1.9</v>
      </c>
      <c r="X12" s="1">
        <v>2</v>
      </c>
      <c r="Y12" s="1">
        <v>1.8</v>
      </c>
      <c r="Z12" s="1">
        <v>1.5</v>
      </c>
      <c r="AA12" s="1">
        <v>1.7</v>
      </c>
      <c r="AB12" s="1">
        <v>4.7</v>
      </c>
      <c r="AC12" s="1">
        <v>3</v>
      </c>
      <c r="AD12" s="16">
        <v>3.9</v>
      </c>
      <c r="AE12" s="16">
        <v>2.5</v>
      </c>
      <c r="AF12" s="16"/>
      <c r="AG12" s="1"/>
      <c r="AH12" s="1"/>
      <c r="AI12" s="1"/>
      <c r="AJ12" s="1"/>
      <c r="AK12" s="1"/>
      <c r="AL12" s="1"/>
      <c r="AM12" s="1">
        <v>0.2</v>
      </c>
      <c r="AN12" s="1">
        <f>(J12*0.5)+J12</f>
        <v>0.15000000000000002</v>
      </c>
      <c r="AO12" s="1"/>
      <c r="AP12" s="1"/>
      <c r="AQ12" s="1">
        <f>(M12*1.05)+M12</f>
        <v>0.20500000000000002</v>
      </c>
      <c r="AR12" s="1">
        <f>(N12*1.25)+N12</f>
        <v>0.22500000000000001</v>
      </c>
      <c r="AS12" s="1">
        <f>(O12*1.5)+O12</f>
        <v>0.5</v>
      </c>
      <c r="AT12" s="1">
        <f>(P12*1.6)+P12</f>
        <v>1.3</v>
      </c>
      <c r="AU12" s="1">
        <f>(Q12*1.8)+Q12</f>
        <v>3.08</v>
      </c>
      <c r="AV12" s="1">
        <f>(R12*2)+R12</f>
        <v>6</v>
      </c>
      <c r="AW12" s="1">
        <f>(S12*2)+S12</f>
        <v>8.6999999999999993</v>
      </c>
      <c r="AX12" s="1">
        <f>(T12*2.25)+T12</f>
        <v>5.2</v>
      </c>
      <c r="AY12" s="1">
        <f>(U12*2.45)+U12</f>
        <v>3.7950000000000004</v>
      </c>
      <c r="AZ12" s="1">
        <f>(V12*2.65)+V12</f>
        <v>4.7450000000000001</v>
      </c>
      <c r="BA12" s="1">
        <f>(W12*2.9)+W12</f>
        <v>7.41</v>
      </c>
      <c r="BB12" s="1">
        <f>(X12*3.15)+X12</f>
        <v>8.3000000000000007</v>
      </c>
      <c r="BC12" s="1">
        <f>(Y12*3.35)+Y12</f>
        <v>7.83</v>
      </c>
      <c r="BD12" s="1">
        <f>(Z12*3.55)+Z12</f>
        <v>6.8249999999999993</v>
      </c>
      <c r="BE12" s="1">
        <f>(AA12*3.8)+AA12</f>
        <v>8.16</v>
      </c>
      <c r="BF12" s="1">
        <f>(AB12*4.05)+AB12</f>
        <v>23.734999999999999</v>
      </c>
      <c r="BG12" s="1">
        <f>(AC12*4.15)+AC12</f>
        <v>15.450000000000001</v>
      </c>
      <c r="BH12" s="1">
        <f>(AD12*4.25)+AD12</f>
        <v>20.474999999999998</v>
      </c>
      <c r="BI12" s="1">
        <f>(AE12*4.5)+AE12</f>
        <v>13.75</v>
      </c>
    </row>
    <row r="13" spans="1:61" ht="16" x14ac:dyDescent="0.2">
      <c r="A13" s="8" t="s">
        <v>360</v>
      </c>
      <c r="B13" s="16" t="s">
        <v>705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>
        <v>25.4</v>
      </c>
      <c r="V13" s="1">
        <v>22.6</v>
      </c>
      <c r="W13" s="1">
        <v>17.8</v>
      </c>
      <c r="X13" s="1">
        <v>16.8</v>
      </c>
      <c r="Y13" s="1">
        <v>18.3</v>
      </c>
      <c r="Z13" s="1">
        <v>22</v>
      </c>
      <c r="AA13" s="1">
        <v>23</v>
      </c>
      <c r="AB13" s="1">
        <v>7.9</v>
      </c>
      <c r="AC13" s="1">
        <v>7.4</v>
      </c>
      <c r="AD13" s="16">
        <v>11.6</v>
      </c>
      <c r="AE13" s="16">
        <v>12.2</v>
      </c>
      <c r="AF13" s="16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>
        <v>25.4</v>
      </c>
      <c r="AZ13" s="1">
        <f>(V13*0.2)+V13</f>
        <v>27.12</v>
      </c>
      <c r="BA13" s="1">
        <f>(W13*0.45)+W13</f>
        <v>25.810000000000002</v>
      </c>
      <c r="BB13" s="1">
        <f>(X13*0.7)+X13</f>
        <v>28.560000000000002</v>
      </c>
      <c r="BC13" s="1">
        <f>(Y13*0.9)+Y13</f>
        <v>34.770000000000003</v>
      </c>
      <c r="BD13" s="1">
        <f>(Z13*1.1)+Z13</f>
        <v>46.2</v>
      </c>
      <c r="BE13" s="1">
        <f>(AA13*1.35)+AA13</f>
        <v>54.05</v>
      </c>
      <c r="BF13" s="1">
        <f>(AB13*1.6)+AB13</f>
        <v>20.54</v>
      </c>
      <c r="BG13" s="1">
        <f>(AC13*1.7)+AC13</f>
        <v>19.98</v>
      </c>
      <c r="BH13" s="1">
        <f>(AD13*1.8)+AD13</f>
        <v>32.479999999999997</v>
      </c>
      <c r="BI13" s="1">
        <f>(AE13*2.05)+AE13</f>
        <v>37.209999999999994</v>
      </c>
    </row>
    <row r="14" spans="1:61" x14ac:dyDescent="0.2"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3" t="s">
        <v>14</v>
      </c>
      <c r="AG14" s="1">
        <f t="shared" ref="AG14:BI14" si="20">SUM(AG2:AG13)</f>
        <v>89.799999999999983</v>
      </c>
      <c r="AH14" s="1">
        <f t="shared" si="20"/>
        <v>116.4</v>
      </c>
      <c r="AI14" s="1">
        <f t="shared" si="20"/>
        <v>123</v>
      </c>
      <c r="AJ14" s="1">
        <f t="shared" si="20"/>
        <v>127.53</v>
      </c>
      <c r="AK14" s="1">
        <f t="shared" si="20"/>
        <v>153.14000000000001</v>
      </c>
      <c r="AL14" s="1">
        <f t="shared" si="20"/>
        <v>153.68499999999997</v>
      </c>
      <c r="AM14" s="1">
        <f t="shared" si="20"/>
        <v>175.76499999999999</v>
      </c>
      <c r="AN14" s="1">
        <f t="shared" si="20"/>
        <v>223.39500000000004</v>
      </c>
      <c r="AO14" s="1">
        <f t="shared" si="20"/>
        <v>246.13</v>
      </c>
      <c r="AP14" s="1">
        <f t="shared" si="20"/>
        <v>261.00499999999994</v>
      </c>
      <c r="AQ14" s="1">
        <f t="shared" si="20"/>
        <v>283.49499999999995</v>
      </c>
      <c r="AR14" s="1">
        <f t="shared" si="20"/>
        <v>303.09000000000003</v>
      </c>
      <c r="AS14" s="1">
        <f t="shared" si="20"/>
        <v>326.20999999999998</v>
      </c>
      <c r="AT14" s="1">
        <f t="shared" si="20"/>
        <v>335.85999999999996</v>
      </c>
      <c r="AU14" s="1">
        <f t="shared" si="20"/>
        <v>352.28</v>
      </c>
      <c r="AV14" s="1">
        <f t="shared" si="20"/>
        <v>364.72</v>
      </c>
      <c r="AW14" s="1">
        <f t="shared" si="20"/>
        <v>363.24</v>
      </c>
      <c r="AX14" s="1">
        <f t="shared" si="20"/>
        <v>388.33</v>
      </c>
      <c r="AY14" s="1">
        <f t="shared" si="20"/>
        <v>326.69499999999999</v>
      </c>
      <c r="AZ14" s="1">
        <f t="shared" si="20"/>
        <v>356.71500000000003</v>
      </c>
      <c r="BA14" s="1">
        <f t="shared" si="20"/>
        <v>392.33000000000004</v>
      </c>
      <c r="BB14" s="1">
        <f t="shared" si="20"/>
        <v>403.21500000000009</v>
      </c>
      <c r="BC14" s="1">
        <f t="shared" si="20"/>
        <v>418.13</v>
      </c>
      <c r="BD14" s="1">
        <f t="shared" si="20"/>
        <v>419.41499999999991</v>
      </c>
      <c r="BE14" s="1">
        <f t="shared" si="20"/>
        <v>433.59499999999997</v>
      </c>
      <c r="BF14" s="1">
        <f t="shared" si="20"/>
        <v>469.505</v>
      </c>
      <c r="BG14" s="1">
        <f t="shared" si="20"/>
        <v>532.31500000000005</v>
      </c>
      <c r="BH14" s="1">
        <f t="shared" si="20"/>
        <v>519.495</v>
      </c>
      <c r="BI14" s="1">
        <f t="shared" si="20"/>
        <v>447.09499999999997</v>
      </c>
    </row>
    <row r="15" spans="1:61" x14ac:dyDescent="0.2">
      <c r="AB15" s="1"/>
      <c r="AC15" s="1"/>
      <c r="BF15" s="1"/>
    </row>
    <row r="16" spans="1:61" ht="16" x14ac:dyDescent="0.2">
      <c r="A16" s="21"/>
      <c r="B16" s="21"/>
      <c r="C16" s="16"/>
      <c r="AG16" s="1">
        <v>100</v>
      </c>
      <c r="AH16" s="1">
        <v>120</v>
      </c>
      <c r="AI16" s="1">
        <v>125</v>
      </c>
      <c r="AJ16" s="1">
        <v>130</v>
      </c>
      <c r="AK16" s="1">
        <v>155</v>
      </c>
      <c r="AL16" s="1">
        <v>165</v>
      </c>
      <c r="AM16" s="1">
        <v>185</v>
      </c>
      <c r="AN16" s="1">
        <v>235</v>
      </c>
      <c r="AO16" s="1">
        <v>260</v>
      </c>
      <c r="AP16" s="1">
        <v>265</v>
      </c>
      <c r="AQ16" s="1">
        <v>285</v>
      </c>
      <c r="AR16" s="1">
        <v>305</v>
      </c>
      <c r="AS16" s="1">
        <v>330</v>
      </c>
      <c r="AT16" s="1">
        <v>340</v>
      </c>
      <c r="AU16" s="1">
        <v>360</v>
      </c>
      <c r="AV16" s="1">
        <v>380</v>
      </c>
      <c r="AW16" s="1">
        <v>380</v>
      </c>
      <c r="AX16" s="1">
        <v>405</v>
      </c>
      <c r="AY16" s="1">
        <v>425</v>
      </c>
      <c r="AZ16" s="1">
        <v>445</v>
      </c>
      <c r="BA16" s="1">
        <v>470</v>
      </c>
      <c r="BB16" s="1">
        <v>495</v>
      </c>
      <c r="BC16" s="1">
        <v>515</v>
      </c>
      <c r="BD16" s="1">
        <v>535</v>
      </c>
      <c r="BE16" s="1">
        <v>560</v>
      </c>
      <c r="BF16" s="1">
        <v>585</v>
      </c>
      <c r="BG16" s="1">
        <v>595</v>
      </c>
      <c r="BH16" s="1">
        <v>605</v>
      </c>
      <c r="BI16" s="1">
        <v>630</v>
      </c>
    </row>
    <row r="17" spans="1:61" ht="16" x14ac:dyDescent="0.2">
      <c r="A17" s="21"/>
      <c r="B17" s="21"/>
      <c r="C17" s="16"/>
    </row>
    <row r="18" spans="1:61" ht="16" x14ac:dyDescent="0.2">
      <c r="A18" s="21"/>
      <c r="B18" s="21"/>
      <c r="C18" s="16"/>
      <c r="AG18" s="1">
        <f>AG14</f>
        <v>89.799999999999983</v>
      </c>
      <c r="AH18" s="1">
        <f>SUM(AG18+AH14)</f>
        <v>206.2</v>
      </c>
      <c r="AI18" s="1">
        <f>SUM(AH18+AI14)</f>
        <v>329.2</v>
      </c>
      <c r="AJ18" s="1">
        <f t="shared" ref="AJ18:BI18" si="21">SUM(AI18+AJ14)</f>
        <v>456.73</v>
      </c>
      <c r="AK18" s="1">
        <f t="shared" si="21"/>
        <v>609.87</v>
      </c>
      <c r="AL18" s="1">
        <f t="shared" si="21"/>
        <v>763.55499999999995</v>
      </c>
      <c r="AM18" s="1">
        <f t="shared" si="21"/>
        <v>939.31999999999994</v>
      </c>
      <c r="AN18" s="1">
        <f t="shared" si="21"/>
        <v>1162.7149999999999</v>
      </c>
      <c r="AO18" s="1">
        <f t="shared" si="21"/>
        <v>1408.8449999999998</v>
      </c>
      <c r="AP18" s="1">
        <f t="shared" si="21"/>
        <v>1669.8499999999997</v>
      </c>
      <c r="AQ18" s="1">
        <f t="shared" si="21"/>
        <v>1953.3449999999996</v>
      </c>
      <c r="AR18" s="1">
        <f t="shared" si="21"/>
        <v>2256.4349999999995</v>
      </c>
      <c r="AS18" s="1">
        <f t="shared" si="21"/>
        <v>2582.6449999999995</v>
      </c>
      <c r="AT18" s="1">
        <f t="shared" si="21"/>
        <v>2918.5049999999997</v>
      </c>
      <c r="AU18" s="1">
        <f t="shared" si="21"/>
        <v>3270.7849999999999</v>
      </c>
      <c r="AV18" s="1">
        <f t="shared" si="21"/>
        <v>3635.5050000000001</v>
      </c>
      <c r="AW18" s="1">
        <f t="shared" si="21"/>
        <v>3998.7449999999999</v>
      </c>
      <c r="AX18" s="1">
        <f t="shared" si="21"/>
        <v>4387.0749999999998</v>
      </c>
      <c r="AY18" s="1">
        <f t="shared" si="21"/>
        <v>4713.7699999999995</v>
      </c>
      <c r="AZ18" s="1">
        <f t="shared" si="21"/>
        <v>5070.4849999999997</v>
      </c>
      <c r="BA18" s="1">
        <f t="shared" si="21"/>
        <v>5462.8149999999996</v>
      </c>
      <c r="BB18" s="1">
        <f t="shared" si="21"/>
        <v>5866.03</v>
      </c>
      <c r="BC18" s="1">
        <f t="shared" si="21"/>
        <v>6284.16</v>
      </c>
      <c r="BD18" s="1">
        <f t="shared" si="21"/>
        <v>6703.5749999999998</v>
      </c>
      <c r="BE18" s="1">
        <f t="shared" si="21"/>
        <v>7137.17</v>
      </c>
      <c r="BF18" s="1">
        <f t="shared" si="21"/>
        <v>7606.6750000000002</v>
      </c>
      <c r="BG18" s="1">
        <f t="shared" si="21"/>
        <v>8138.99</v>
      </c>
      <c r="BH18" s="1">
        <f t="shared" si="21"/>
        <v>8658.4850000000006</v>
      </c>
      <c r="BI18" s="1">
        <f t="shared" si="21"/>
        <v>9105.58</v>
      </c>
    </row>
    <row r="19" spans="1:61" ht="16" x14ac:dyDescent="0.2">
      <c r="A19" s="21"/>
      <c r="B19" s="21"/>
      <c r="C19" s="16"/>
      <c r="AG19" s="3"/>
      <c r="AH19" s="3"/>
      <c r="AI19" s="3"/>
      <c r="AJ19" s="1"/>
      <c r="AK19" s="1"/>
      <c r="AL19" s="3"/>
      <c r="AM19" s="3"/>
      <c r="AN19" s="3"/>
      <c r="AO19" s="3"/>
      <c r="AP19" s="28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61" ht="16" x14ac:dyDescent="0.2">
      <c r="A20" s="21"/>
      <c r="B20" s="21"/>
      <c r="C20" s="16"/>
      <c r="AG20" s="1">
        <v>100</v>
      </c>
      <c r="AH20" s="1">
        <f>SUM(AG20+AH16)</f>
        <v>220</v>
      </c>
      <c r="AI20" s="1">
        <f>SUM(AH20+AI16)</f>
        <v>345</v>
      </c>
      <c r="AJ20" s="1">
        <f t="shared" ref="AJ20:BI20" si="22">SUM(AI20+AJ16)</f>
        <v>475</v>
      </c>
      <c r="AK20" s="1">
        <f t="shared" si="22"/>
        <v>630</v>
      </c>
      <c r="AL20" s="1">
        <f t="shared" si="22"/>
        <v>795</v>
      </c>
      <c r="AM20" s="1">
        <f t="shared" si="22"/>
        <v>980</v>
      </c>
      <c r="AN20" s="1">
        <f t="shared" si="22"/>
        <v>1215</v>
      </c>
      <c r="AO20" s="1">
        <f t="shared" si="22"/>
        <v>1475</v>
      </c>
      <c r="AP20" s="1">
        <f t="shared" si="22"/>
        <v>1740</v>
      </c>
      <c r="AQ20" s="1">
        <f t="shared" si="22"/>
        <v>2025</v>
      </c>
      <c r="AR20" s="1">
        <f t="shared" si="22"/>
        <v>2330</v>
      </c>
      <c r="AS20" s="1">
        <f t="shared" si="22"/>
        <v>2660</v>
      </c>
      <c r="AT20" s="1">
        <f t="shared" si="22"/>
        <v>3000</v>
      </c>
      <c r="AU20" s="1">
        <f t="shared" si="22"/>
        <v>3360</v>
      </c>
      <c r="AV20" s="1">
        <f t="shared" si="22"/>
        <v>3740</v>
      </c>
      <c r="AW20" s="1">
        <f t="shared" si="22"/>
        <v>4120</v>
      </c>
      <c r="AX20" s="1">
        <f t="shared" si="22"/>
        <v>4525</v>
      </c>
      <c r="AY20" s="1">
        <f t="shared" si="22"/>
        <v>4950</v>
      </c>
      <c r="AZ20" s="1">
        <f t="shared" si="22"/>
        <v>5395</v>
      </c>
      <c r="BA20" s="1">
        <f t="shared" si="22"/>
        <v>5865</v>
      </c>
      <c r="BB20" s="1">
        <f t="shared" si="22"/>
        <v>6360</v>
      </c>
      <c r="BC20" s="1">
        <f t="shared" si="22"/>
        <v>6875</v>
      </c>
      <c r="BD20" s="1">
        <f t="shared" si="22"/>
        <v>7410</v>
      </c>
      <c r="BE20" s="1">
        <f t="shared" si="22"/>
        <v>7970</v>
      </c>
      <c r="BF20" s="1">
        <f t="shared" si="22"/>
        <v>8555</v>
      </c>
      <c r="BG20" s="1">
        <f t="shared" si="22"/>
        <v>9150</v>
      </c>
      <c r="BH20" s="1">
        <f t="shared" si="22"/>
        <v>9755</v>
      </c>
      <c r="BI20" s="1">
        <f t="shared" si="22"/>
        <v>10385</v>
      </c>
    </row>
    <row r="21" spans="1:61" ht="16" x14ac:dyDescent="0.2">
      <c r="A21" s="21"/>
      <c r="B21" s="21"/>
      <c r="C21" s="16"/>
    </row>
    <row r="22" spans="1:61" ht="16" x14ac:dyDescent="0.2">
      <c r="A22" s="21"/>
      <c r="B22" s="21"/>
      <c r="C22" s="16"/>
      <c r="AG22" s="4" t="s">
        <v>1563</v>
      </c>
      <c r="AH22" s="4" t="s">
        <v>1563</v>
      </c>
      <c r="AI22" s="4" t="s">
        <v>1563</v>
      </c>
      <c r="AJ22" s="4" t="s">
        <v>1563</v>
      </c>
      <c r="AK22" s="4" t="s">
        <v>1563</v>
      </c>
      <c r="AL22" s="4" t="s">
        <v>1563</v>
      </c>
      <c r="AM22" s="4" t="s">
        <v>1563</v>
      </c>
      <c r="AN22" s="4" t="s">
        <v>1563</v>
      </c>
      <c r="AO22" s="4" t="s">
        <v>1563</v>
      </c>
      <c r="AP22" s="4" t="s">
        <v>1563</v>
      </c>
      <c r="AQ22" s="4" t="s">
        <v>1563</v>
      </c>
      <c r="AR22" s="4" t="s">
        <v>1563</v>
      </c>
      <c r="AS22" s="4" t="s">
        <v>1563</v>
      </c>
      <c r="AT22" s="4" t="s">
        <v>1563</v>
      </c>
      <c r="AU22" s="4" t="s">
        <v>1563</v>
      </c>
      <c r="AV22" s="4" t="s">
        <v>1563</v>
      </c>
      <c r="AW22" s="4" t="s">
        <v>1563</v>
      </c>
      <c r="AX22" s="4" t="s">
        <v>1563</v>
      </c>
      <c r="AY22" s="4" t="s">
        <v>1563</v>
      </c>
      <c r="AZ22" s="4" t="s">
        <v>1563</v>
      </c>
      <c r="BA22" s="4" t="s">
        <v>1563</v>
      </c>
      <c r="BB22" s="4" t="s">
        <v>1563</v>
      </c>
      <c r="BC22" s="4" t="s">
        <v>1563</v>
      </c>
      <c r="BD22" s="4" t="s">
        <v>1563</v>
      </c>
      <c r="BE22" s="4" t="s">
        <v>1563</v>
      </c>
      <c r="BF22" s="4" t="s">
        <v>1563</v>
      </c>
      <c r="BG22" s="4" t="s">
        <v>1563</v>
      </c>
      <c r="BH22" s="4" t="s">
        <v>1563</v>
      </c>
      <c r="BI22" s="4" t="s">
        <v>1563</v>
      </c>
    </row>
    <row r="23" spans="1:61" ht="16" x14ac:dyDescent="0.2">
      <c r="A23" s="21"/>
      <c r="B23" s="21"/>
      <c r="C23" s="16"/>
      <c r="AG23" s="6">
        <f>(AG18/AG20)*100</f>
        <v>89.799999999999983</v>
      </c>
      <c r="AH23" s="6">
        <f>(AH18/AH20)*100</f>
        <v>93.72727272727272</v>
      </c>
      <c r="AI23" s="6">
        <f>(AI18/AI20)*100</f>
        <v>95.420289855072454</v>
      </c>
      <c r="AJ23" s="6">
        <f t="shared" ref="AJ23:BI23" si="23">(AJ18/AJ20)*100</f>
        <v>96.153684210526322</v>
      </c>
      <c r="AK23" s="6">
        <f t="shared" si="23"/>
        <v>96.804761904761904</v>
      </c>
      <c r="AL23" s="6">
        <f t="shared" si="23"/>
        <v>96.044654088050308</v>
      </c>
      <c r="AM23" s="6">
        <f t="shared" si="23"/>
        <v>95.848979591836724</v>
      </c>
      <c r="AN23" s="6">
        <f t="shared" si="23"/>
        <v>95.696707818930037</v>
      </c>
      <c r="AO23" s="6">
        <f t="shared" si="23"/>
        <v>95.51491525423728</v>
      </c>
      <c r="AP23" s="6">
        <f t="shared" si="23"/>
        <v>95.968390804597675</v>
      </c>
      <c r="AQ23" s="6">
        <f t="shared" si="23"/>
        <v>96.461481481481457</v>
      </c>
      <c r="AR23" s="6">
        <f t="shared" si="23"/>
        <v>96.842703862660912</v>
      </c>
      <c r="AS23" s="6">
        <f t="shared" si="23"/>
        <v>97.091917293233067</v>
      </c>
      <c r="AT23" s="6">
        <f t="shared" si="23"/>
        <v>97.283499999999989</v>
      </c>
      <c r="AU23" s="6">
        <f t="shared" si="23"/>
        <v>97.344791666666666</v>
      </c>
      <c r="AV23" s="6">
        <f t="shared" si="23"/>
        <v>97.206016042780746</v>
      </c>
      <c r="AW23" s="6">
        <f t="shared" si="23"/>
        <v>97.056917475728156</v>
      </c>
      <c r="AX23" s="6">
        <f t="shared" si="23"/>
        <v>96.951933701657453</v>
      </c>
      <c r="AY23" s="6">
        <f t="shared" si="23"/>
        <v>95.227676767676755</v>
      </c>
      <c r="AZ23" s="6">
        <f t="shared" si="23"/>
        <v>93.98489341983317</v>
      </c>
      <c r="BA23" s="38">
        <f t="shared" si="23"/>
        <v>93.142625745950554</v>
      </c>
      <c r="BB23" s="38">
        <f t="shared" si="23"/>
        <v>92.233176100628924</v>
      </c>
      <c r="BC23" s="38">
        <f t="shared" si="23"/>
        <v>91.405963636363623</v>
      </c>
      <c r="BD23" s="38">
        <f t="shared" si="23"/>
        <v>90.466599190283404</v>
      </c>
      <c r="BE23" s="38">
        <f t="shared" si="23"/>
        <v>89.5504391468005</v>
      </c>
      <c r="BF23" s="38">
        <f t="shared" si="23"/>
        <v>88.914962010520171</v>
      </c>
      <c r="BG23" s="38">
        <f t="shared" si="23"/>
        <v>88.950710382513648</v>
      </c>
      <c r="BH23" s="38">
        <f t="shared" si="23"/>
        <v>88.759456688877506</v>
      </c>
      <c r="BI23" s="38">
        <f t="shared" si="23"/>
        <v>87.68011555127589</v>
      </c>
    </row>
    <row r="24" spans="1:61" ht="16" x14ac:dyDescent="0.2">
      <c r="A24" s="21"/>
      <c r="B24" s="21"/>
      <c r="C24" s="16"/>
    </row>
    <row r="25" spans="1:61" ht="16" x14ac:dyDescent="0.2">
      <c r="A25" s="21"/>
      <c r="B25" s="21"/>
      <c r="C25" s="16"/>
    </row>
    <row r="31" spans="1:61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6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3:29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3:29" x14ac:dyDescent="0.2">
      <c r="H34" s="1"/>
      <c r="I34" s="1"/>
      <c r="J34" s="1"/>
      <c r="K34" s="1"/>
      <c r="L34" s="1"/>
      <c r="R34" s="1"/>
      <c r="S34" s="1"/>
      <c r="T34" s="1"/>
      <c r="U34" s="1"/>
      <c r="V34" s="1"/>
    </row>
    <row r="35" spans="3:29" x14ac:dyDescent="0.2">
      <c r="C35" s="1"/>
      <c r="D35" s="1"/>
      <c r="H35" s="1"/>
      <c r="I35" s="1"/>
      <c r="J35" s="1"/>
      <c r="K35" s="1"/>
      <c r="L35" s="1"/>
      <c r="R35" s="1"/>
      <c r="S35" s="1"/>
      <c r="T35" s="1"/>
      <c r="U35" s="1"/>
      <c r="V35" s="1"/>
    </row>
    <row r="36" spans="3:29" x14ac:dyDescent="0.2">
      <c r="H36" s="1"/>
      <c r="I36" s="1"/>
      <c r="J36" s="1"/>
      <c r="K36" s="1"/>
      <c r="L36" s="1"/>
      <c r="R36" s="1"/>
      <c r="S36" s="1"/>
      <c r="T36" s="1"/>
      <c r="U36" s="1"/>
      <c r="V36" s="1"/>
      <c r="X36" s="1"/>
      <c r="Y36" s="1"/>
      <c r="Z36" s="1"/>
      <c r="AA36" s="1"/>
      <c r="AB36" s="1"/>
      <c r="AC36" s="1"/>
    </row>
    <row r="37" spans="3:29" x14ac:dyDescent="0.2">
      <c r="H37" s="1"/>
      <c r="I37" s="1"/>
      <c r="J37" s="1"/>
      <c r="K37" s="1"/>
      <c r="L37" s="1"/>
      <c r="R37" s="1"/>
      <c r="S37" s="1"/>
      <c r="T37" s="1"/>
      <c r="U37" s="1"/>
      <c r="V37" s="1"/>
    </row>
    <row r="38" spans="3:29" x14ac:dyDescent="0.2">
      <c r="C38" s="1"/>
      <c r="F38" s="1"/>
      <c r="K38" s="1"/>
      <c r="M38" s="1"/>
      <c r="N38" s="1"/>
      <c r="O38" s="1"/>
      <c r="P38" s="1"/>
      <c r="Q38" s="1"/>
      <c r="R38" s="1"/>
      <c r="S38" s="1"/>
      <c r="T38" s="1"/>
    </row>
    <row r="39" spans="3:29" x14ac:dyDescent="0.2">
      <c r="F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</sheetData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8"/>
  <sheetViews>
    <sheetView tabSelected="1" workbookViewId="0">
      <selection activeCell="E17" sqref="E17"/>
    </sheetView>
  </sheetViews>
  <sheetFormatPr baseColWidth="10" defaultRowHeight="15" x14ac:dyDescent="0.2"/>
  <cols>
    <col min="2" max="2" width="28" customWidth="1"/>
  </cols>
  <sheetData>
    <row r="1" spans="1:5" ht="16" x14ac:dyDescent="0.2">
      <c r="A1" s="3" t="s">
        <v>15</v>
      </c>
      <c r="B1" s="24" t="s">
        <v>681</v>
      </c>
      <c r="C1" s="3">
        <v>1920</v>
      </c>
      <c r="E1" s="3">
        <v>1920</v>
      </c>
    </row>
    <row r="2" spans="1:5" ht="16" x14ac:dyDescent="0.2">
      <c r="A2" s="8" t="s">
        <v>198</v>
      </c>
      <c r="B2" s="16" t="s">
        <v>744</v>
      </c>
      <c r="C2" s="1">
        <v>19.899999999999999</v>
      </c>
      <c r="E2" s="1">
        <v>19.899999999999999</v>
      </c>
    </row>
    <row r="3" spans="1:5" ht="16" x14ac:dyDescent="0.2">
      <c r="A3" s="8" t="s">
        <v>1386</v>
      </c>
      <c r="B3" s="16" t="s">
        <v>898</v>
      </c>
      <c r="C3" s="1">
        <v>17.7</v>
      </c>
      <c r="E3" s="1">
        <v>17.7</v>
      </c>
    </row>
    <row r="4" spans="1:5" x14ac:dyDescent="0.2">
      <c r="A4" s="8" t="s">
        <v>1387</v>
      </c>
      <c r="B4" s="7" t="s">
        <v>1398</v>
      </c>
      <c r="C4" s="1">
        <v>14.3</v>
      </c>
      <c r="E4" s="1">
        <v>14.3</v>
      </c>
    </row>
    <row r="5" spans="1:5" x14ac:dyDescent="0.2">
      <c r="A5" s="8" t="s">
        <v>1388</v>
      </c>
      <c r="B5" s="1" t="s">
        <v>1389</v>
      </c>
      <c r="C5" s="1">
        <v>12.4</v>
      </c>
      <c r="E5" s="1">
        <v>12.4</v>
      </c>
    </row>
    <row r="6" spans="1:5" x14ac:dyDescent="0.2">
      <c r="A6" s="8" t="s">
        <v>470</v>
      </c>
      <c r="B6" s="1" t="s">
        <v>1395</v>
      </c>
      <c r="C6" s="1">
        <v>9.4</v>
      </c>
      <c r="E6" s="1">
        <v>9.4</v>
      </c>
    </row>
    <row r="7" spans="1:5" ht="16" x14ac:dyDescent="0.2">
      <c r="A7" s="15" t="s">
        <v>1396</v>
      </c>
      <c r="B7" s="1" t="s">
        <v>1397</v>
      </c>
      <c r="C7" s="6">
        <v>6.9220265810697752</v>
      </c>
      <c r="E7" s="6">
        <v>6.9220265810697752</v>
      </c>
    </row>
    <row r="8" spans="1:5" x14ac:dyDescent="0.2">
      <c r="A8" s="8" t="s">
        <v>1390</v>
      </c>
      <c r="B8" s="1" t="s">
        <v>1391</v>
      </c>
      <c r="C8" s="6">
        <v>6.8984501115061256</v>
      </c>
      <c r="E8" s="6">
        <v>6.8984501115061256</v>
      </c>
    </row>
    <row r="9" spans="1:5" x14ac:dyDescent="0.2">
      <c r="D9" s="3" t="s">
        <v>14</v>
      </c>
      <c r="E9" s="6">
        <f>SUM(E2:E8)</f>
        <v>87.520476692575897</v>
      </c>
    </row>
    <row r="11" spans="1:5" x14ac:dyDescent="0.2">
      <c r="E11" s="1">
        <v>100</v>
      </c>
    </row>
    <row r="13" spans="1:5" x14ac:dyDescent="0.2">
      <c r="E13" s="6">
        <f>E9</f>
        <v>87.520476692575897</v>
      </c>
    </row>
    <row r="14" spans="1:5" x14ac:dyDescent="0.2">
      <c r="E14" s="3"/>
    </row>
    <row r="15" spans="1:5" x14ac:dyDescent="0.2">
      <c r="E15" s="1">
        <v>100</v>
      </c>
    </row>
    <row r="17" spans="5:5" x14ac:dyDescent="0.2">
      <c r="E17" s="4" t="s">
        <v>1563</v>
      </c>
    </row>
    <row r="18" spans="5:5" x14ac:dyDescent="0.2">
      <c r="E18" s="6">
        <f>(E13/E15)*100</f>
        <v>87.520476692575897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61"/>
  <sheetViews>
    <sheetView topLeftCell="J17" workbookViewId="0">
      <selection activeCell="T42" sqref="T42:AI42"/>
    </sheetView>
  </sheetViews>
  <sheetFormatPr baseColWidth="10" defaultRowHeight="15" x14ac:dyDescent="0.2"/>
  <cols>
    <col min="2" max="2" width="48.1640625" customWidth="1"/>
  </cols>
  <sheetData>
    <row r="1" spans="1:35" ht="16" x14ac:dyDescent="0.2">
      <c r="A1" s="3" t="s">
        <v>15</v>
      </c>
      <c r="B1" s="24" t="s">
        <v>681</v>
      </c>
      <c r="C1" s="3">
        <v>1991</v>
      </c>
      <c r="D1" s="3">
        <v>1994</v>
      </c>
      <c r="E1" s="3">
        <v>1997</v>
      </c>
      <c r="F1" s="3">
        <v>2001</v>
      </c>
      <c r="G1" s="3">
        <v>2005</v>
      </c>
      <c r="H1" s="3">
        <v>2009</v>
      </c>
      <c r="I1" s="3">
        <v>2013</v>
      </c>
      <c r="J1" s="3">
        <v>2014</v>
      </c>
      <c r="K1" s="3">
        <v>2017</v>
      </c>
      <c r="L1" s="3" t="s">
        <v>1465</v>
      </c>
      <c r="M1" s="3" t="s">
        <v>1466</v>
      </c>
      <c r="N1" s="3" t="s">
        <v>1467</v>
      </c>
      <c r="O1" s="3">
        <v>2022</v>
      </c>
      <c r="P1" s="3">
        <v>2023</v>
      </c>
      <c r="Q1" s="3" t="s">
        <v>1553</v>
      </c>
      <c r="R1" s="3" t="s">
        <v>1554</v>
      </c>
      <c r="T1" s="3">
        <v>1991</v>
      </c>
      <c r="U1" s="3">
        <v>1994</v>
      </c>
      <c r="V1" s="3">
        <v>1997</v>
      </c>
      <c r="W1" s="3">
        <v>2001</v>
      </c>
      <c r="X1" s="3">
        <v>2005</v>
      </c>
      <c r="Y1" s="3">
        <v>2009</v>
      </c>
      <c r="Z1" s="3">
        <v>2013</v>
      </c>
      <c r="AA1" s="3">
        <v>2014</v>
      </c>
      <c r="AB1" s="3">
        <v>2017</v>
      </c>
      <c r="AC1" s="3" t="s">
        <v>1465</v>
      </c>
      <c r="AD1" s="3" t="s">
        <v>1466</v>
      </c>
      <c r="AE1" s="3" t="s">
        <v>1467</v>
      </c>
      <c r="AF1" s="3">
        <v>2022</v>
      </c>
      <c r="AG1" s="3">
        <v>2023</v>
      </c>
      <c r="AH1" s="3" t="s">
        <v>1553</v>
      </c>
      <c r="AI1" s="3" t="s">
        <v>1554</v>
      </c>
    </row>
    <row r="2" spans="1:35" ht="16" x14ac:dyDescent="0.2">
      <c r="A2" s="1" t="s">
        <v>115</v>
      </c>
      <c r="B2" s="16" t="s">
        <v>1258</v>
      </c>
      <c r="C2" s="1">
        <v>34.4</v>
      </c>
      <c r="D2" s="1">
        <v>24.2</v>
      </c>
      <c r="E2" s="1">
        <v>52.3</v>
      </c>
      <c r="F2" s="1">
        <v>18.2</v>
      </c>
      <c r="G2" s="1">
        <v>7.7</v>
      </c>
      <c r="I2" s="1">
        <v>1.4</v>
      </c>
      <c r="J2" s="1"/>
      <c r="K2" s="1"/>
      <c r="L2" s="1"/>
      <c r="M2" s="1"/>
      <c r="N2" s="1"/>
      <c r="O2" s="1"/>
      <c r="P2" s="1"/>
      <c r="Q2" s="1"/>
      <c r="R2" s="1"/>
      <c r="S2" s="16"/>
      <c r="T2" s="1">
        <v>34.4</v>
      </c>
      <c r="U2" s="1">
        <f>(D2*0.15)+D2</f>
        <v>27.83</v>
      </c>
      <c r="V2" s="1">
        <f>(E2*0.3)+E2</f>
        <v>67.989999999999995</v>
      </c>
      <c r="W2" s="1">
        <f>(F2*0.5)+F2</f>
        <v>27.299999999999997</v>
      </c>
      <c r="X2" s="1">
        <f>(G2*0.7)+G2</f>
        <v>13.09</v>
      </c>
      <c r="Z2" s="1">
        <f>(I2*1.1)+I2</f>
        <v>2.94</v>
      </c>
      <c r="AA2" s="1"/>
      <c r="AB2" s="1"/>
    </row>
    <row r="3" spans="1:35" ht="16" x14ac:dyDescent="0.2">
      <c r="A3" s="1" t="s">
        <v>112</v>
      </c>
      <c r="B3" s="16" t="s">
        <v>1259</v>
      </c>
      <c r="C3" s="1">
        <v>33.1</v>
      </c>
      <c r="D3" s="1">
        <v>43.5</v>
      </c>
      <c r="E3" s="1">
        <v>22.1</v>
      </c>
      <c r="F3" s="1">
        <v>17.2</v>
      </c>
      <c r="G3" s="1">
        <v>31</v>
      </c>
      <c r="H3" s="1">
        <v>17.7</v>
      </c>
      <c r="I3" s="1">
        <v>26.6</v>
      </c>
      <c r="J3" s="1">
        <v>15.4</v>
      </c>
      <c r="K3" s="1">
        <v>27.2</v>
      </c>
      <c r="L3" s="1">
        <v>14.8</v>
      </c>
      <c r="M3" s="1">
        <v>13.2</v>
      </c>
      <c r="N3" s="1">
        <v>10.1</v>
      </c>
      <c r="O3" s="1">
        <v>9</v>
      </c>
      <c r="P3" s="1">
        <v>8.6</v>
      </c>
      <c r="Q3" s="1">
        <v>6.9</v>
      </c>
      <c r="R3" s="1">
        <v>7.3</v>
      </c>
      <c r="S3" s="16"/>
      <c r="T3" s="1">
        <v>33.1</v>
      </c>
      <c r="U3" s="1">
        <f>(D3*0.15)+D3</f>
        <v>50.024999999999999</v>
      </c>
      <c r="V3" s="1">
        <f>(E3*0.3)+E3</f>
        <v>28.73</v>
      </c>
      <c r="W3" s="1">
        <f>(F3*0.5)+F3</f>
        <v>25.799999999999997</v>
      </c>
      <c r="X3" s="1">
        <f>(G3*0.7)+G3</f>
        <v>52.7</v>
      </c>
      <c r="Y3" s="1">
        <f>(H3*0.9)+H3</f>
        <v>33.629999999999995</v>
      </c>
      <c r="Z3" s="1">
        <f>(I3*1.1)+I3</f>
        <v>55.860000000000007</v>
      </c>
      <c r="AA3" s="1">
        <f>(J3*1.15)+J3</f>
        <v>33.11</v>
      </c>
      <c r="AB3" s="1">
        <f>(K3*1.3)+K3</f>
        <v>62.56</v>
      </c>
      <c r="AC3" s="1">
        <f t="shared" ref="AC3:AE4" si="0">(L3*1.5)+L3</f>
        <v>37</v>
      </c>
      <c r="AD3" s="1">
        <f t="shared" si="0"/>
        <v>33</v>
      </c>
      <c r="AE3" s="1">
        <f t="shared" si="0"/>
        <v>25.25</v>
      </c>
      <c r="AF3" s="1">
        <f>(O3*1.55)+O3</f>
        <v>22.950000000000003</v>
      </c>
      <c r="AG3" s="1">
        <f>(P3*1.6)+P3</f>
        <v>22.36</v>
      </c>
      <c r="AH3" s="1">
        <f>(Q3*1.65)+Q3</f>
        <v>18.285</v>
      </c>
      <c r="AI3" s="1">
        <f>(R3*1.65)+R3</f>
        <v>19.344999999999999</v>
      </c>
    </row>
    <row r="4" spans="1:35" ht="16" x14ac:dyDescent="0.2">
      <c r="A4" s="1" t="s">
        <v>113</v>
      </c>
      <c r="B4" s="16" t="s">
        <v>1260</v>
      </c>
      <c r="C4" s="1">
        <v>7.6</v>
      </c>
      <c r="D4" s="1">
        <v>5.4</v>
      </c>
      <c r="E4" s="1">
        <v>7.6</v>
      </c>
      <c r="F4" s="1">
        <v>7.5</v>
      </c>
      <c r="G4" s="1">
        <v>12.8</v>
      </c>
      <c r="H4" s="1">
        <v>14</v>
      </c>
      <c r="I4" s="1">
        <v>11.3</v>
      </c>
      <c r="J4" s="1">
        <v>14.8</v>
      </c>
      <c r="K4" s="1">
        <v>9</v>
      </c>
      <c r="L4" s="1">
        <v>10.4</v>
      </c>
      <c r="M4" s="1">
        <v>10.6</v>
      </c>
      <c r="N4" s="1">
        <v>12.8</v>
      </c>
      <c r="O4" s="1">
        <v>13.3</v>
      </c>
      <c r="P4" s="1">
        <v>13.2</v>
      </c>
      <c r="Q4" s="1">
        <v>16.600000000000001</v>
      </c>
      <c r="R4" s="1">
        <v>11.2</v>
      </c>
      <c r="S4" s="16"/>
      <c r="T4" s="1">
        <v>7.6</v>
      </c>
      <c r="U4" s="1">
        <f>(D4*0.15)+D4</f>
        <v>6.2100000000000009</v>
      </c>
      <c r="V4" s="1">
        <f>(E4*0.3)+E4</f>
        <v>9.879999999999999</v>
      </c>
      <c r="W4" s="1">
        <f>(F4*0.5)+F4</f>
        <v>11.25</v>
      </c>
      <c r="X4" s="1">
        <f>(G4*0.7)+G4</f>
        <v>21.759999999999998</v>
      </c>
      <c r="Y4" s="1">
        <f>(H4*0.9)+H4</f>
        <v>26.6</v>
      </c>
      <c r="Z4" s="1">
        <f>(I4*1.1)+I4</f>
        <v>23.730000000000004</v>
      </c>
      <c r="AA4" s="1">
        <f>(J4*1.15)+J4</f>
        <v>31.82</v>
      </c>
      <c r="AB4" s="1">
        <f>(K4*1.3)+K4</f>
        <v>20.700000000000003</v>
      </c>
      <c r="AC4" s="1">
        <f t="shared" si="0"/>
        <v>26</v>
      </c>
      <c r="AD4" s="1">
        <f t="shared" si="0"/>
        <v>26.5</v>
      </c>
      <c r="AE4" s="1">
        <f t="shared" si="0"/>
        <v>32</v>
      </c>
      <c r="AF4" s="1">
        <f>(O4*1.55)+O4</f>
        <v>33.915000000000006</v>
      </c>
      <c r="AG4" s="1">
        <f>(P4*1.6)+P4</f>
        <v>34.32</v>
      </c>
      <c r="AH4" s="1">
        <f>(Q4*1.65)+Q4</f>
        <v>43.99</v>
      </c>
      <c r="AI4" s="1">
        <f>(R4*1.65)+R4</f>
        <v>29.679999999999996</v>
      </c>
    </row>
    <row r="5" spans="1:35" ht="16" x14ac:dyDescent="0.2">
      <c r="A5" s="1" t="s">
        <v>1555</v>
      </c>
      <c r="B5" s="16" t="s">
        <v>1556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v>7.2</v>
      </c>
      <c r="S5" s="1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>
        <v>7.2</v>
      </c>
    </row>
    <row r="6" spans="1:35" ht="16" x14ac:dyDescent="0.2">
      <c r="A6" s="1" t="s">
        <v>118</v>
      </c>
      <c r="B6" s="16" t="s">
        <v>1261</v>
      </c>
      <c r="C6" s="1">
        <v>1.3</v>
      </c>
      <c r="D6" s="1">
        <v>4.7</v>
      </c>
      <c r="E6" s="1">
        <v>4.9000000000000004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6"/>
      <c r="T6" s="1">
        <v>1.3</v>
      </c>
      <c r="U6" s="1">
        <f>(D6*0.15)+D6</f>
        <v>5.4050000000000002</v>
      </c>
      <c r="V6" s="1">
        <f>(E6*0.3)+E6</f>
        <v>6.37</v>
      </c>
      <c r="W6" s="1"/>
      <c r="X6" s="1"/>
      <c r="Y6" s="1"/>
      <c r="Z6" s="1"/>
      <c r="AA6" s="1"/>
      <c r="AB6" s="1"/>
      <c r="AE6" s="1"/>
      <c r="AF6" s="1"/>
      <c r="AH6" s="1"/>
    </row>
    <row r="7" spans="1:35" ht="16" x14ac:dyDescent="0.2">
      <c r="A7" s="21" t="s">
        <v>451</v>
      </c>
      <c r="B7" s="16" t="s">
        <v>1262</v>
      </c>
      <c r="C7" s="1">
        <v>3.9</v>
      </c>
      <c r="D7" s="1"/>
      <c r="E7" s="1"/>
      <c r="F7" s="1"/>
      <c r="G7" s="1"/>
      <c r="H7" s="1"/>
      <c r="I7" s="1"/>
      <c r="J7" s="1"/>
      <c r="K7" s="1"/>
      <c r="L7" s="1"/>
      <c r="M7" s="1"/>
      <c r="N7" s="21"/>
      <c r="O7" s="21"/>
      <c r="P7" s="21"/>
      <c r="Q7" s="21"/>
      <c r="R7" s="21"/>
      <c r="S7" s="16"/>
      <c r="T7" s="1">
        <v>3.9</v>
      </c>
      <c r="U7" s="1"/>
      <c r="V7" s="1"/>
      <c r="W7" s="1"/>
      <c r="X7" s="1"/>
      <c r="Y7" s="1"/>
      <c r="Z7" s="1"/>
      <c r="AA7" s="1"/>
      <c r="AB7" s="1"/>
      <c r="AE7" s="1"/>
      <c r="AF7" s="1"/>
      <c r="AH7" s="1"/>
    </row>
    <row r="8" spans="1:35" ht="16" x14ac:dyDescent="0.2">
      <c r="A8" s="21" t="s">
        <v>452</v>
      </c>
      <c r="B8" s="16" t="s">
        <v>1263</v>
      </c>
      <c r="C8" s="1">
        <v>3.4</v>
      </c>
      <c r="D8" s="1">
        <v>6.5</v>
      </c>
      <c r="E8" s="1"/>
      <c r="F8" s="1">
        <v>0.3</v>
      </c>
      <c r="G8" s="1"/>
      <c r="I8" s="1"/>
      <c r="J8" s="1"/>
      <c r="K8" s="1"/>
      <c r="L8" s="1"/>
      <c r="M8" s="1"/>
      <c r="N8" s="21"/>
      <c r="O8" s="21"/>
      <c r="P8" s="21"/>
      <c r="Q8" s="21"/>
      <c r="R8" s="21"/>
      <c r="S8" s="16"/>
      <c r="T8" s="1">
        <v>3.4</v>
      </c>
      <c r="U8" s="1">
        <f>(D8*0.15)+D8</f>
        <v>7.4749999999999996</v>
      </c>
      <c r="V8" s="1"/>
      <c r="W8" s="3">
        <f>(F8*0.5)+F8</f>
        <v>0.44999999999999996</v>
      </c>
      <c r="X8" s="3"/>
      <c r="Z8" s="1"/>
      <c r="AA8" s="1"/>
      <c r="AB8" s="1"/>
      <c r="AE8" s="1"/>
      <c r="AF8" s="1"/>
      <c r="AH8" s="1"/>
    </row>
    <row r="9" spans="1:35" ht="16" x14ac:dyDescent="0.2">
      <c r="A9" s="21" t="s">
        <v>464</v>
      </c>
      <c r="B9" s="16" t="s">
        <v>1264</v>
      </c>
      <c r="C9" s="1"/>
      <c r="D9" s="1"/>
      <c r="E9" s="1"/>
      <c r="F9" s="1"/>
      <c r="G9" s="1">
        <v>5.2</v>
      </c>
      <c r="I9" s="1">
        <v>0.2</v>
      </c>
      <c r="J9" s="1"/>
      <c r="K9" s="1"/>
      <c r="L9" s="1"/>
      <c r="M9" s="1"/>
      <c r="N9" s="21"/>
      <c r="O9" s="21"/>
      <c r="P9" s="21"/>
      <c r="Q9" s="21"/>
      <c r="R9" s="21"/>
      <c r="S9" s="16"/>
      <c r="T9" s="1"/>
      <c r="U9" s="1"/>
      <c r="V9" s="1"/>
      <c r="W9" s="3"/>
      <c r="X9" s="1">
        <v>5.2</v>
      </c>
      <c r="Z9" s="1">
        <f>(I9*0.4)+I9</f>
        <v>0.28000000000000003</v>
      </c>
      <c r="AA9" s="1"/>
      <c r="AB9" s="1"/>
      <c r="AE9" s="1"/>
      <c r="AF9" s="1"/>
      <c r="AH9" s="1"/>
    </row>
    <row r="10" spans="1:35" ht="16" x14ac:dyDescent="0.2">
      <c r="A10" s="21" t="s">
        <v>453</v>
      </c>
      <c r="B10" s="16" t="s">
        <v>1265</v>
      </c>
      <c r="C10" s="1">
        <v>3.2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21"/>
      <c r="O10" s="21"/>
      <c r="P10" s="21"/>
      <c r="Q10" s="21"/>
      <c r="R10" s="21"/>
      <c r="S10" s="16"/>
      <c r="T10" s="1">
        <v>3.2</v>
      </c>
      <c r="U10" s="1"/>
      <c r="V10" s="1"/>
      <c r="W10" s="1"/>
      <c r="X10" s="1"/>
      <c r="Y10" s="1"/>
      <c r="Z10" s="1"/>
      <c r="AA10" s="1"/>
      <c r="AB10" s="1"/>
      <c r="AE10" s="1"/>
      <c r="AF10" s="1"/>
      <c r="AH10" s="1"/>
    </row>
    <row r="11" spans="1:35" ht="16" x14ac:dyDescent="0.2">
      <c r="A11" s="21" t="s">
        <v>454</v>
      </c>
      <c r="B11" s="16" t="s">
        <v>1266</v>
      </c>
      <c r="C11" s="1"/>
      <c r="D11" s="1"/>
      <c r="E11" s="1"/>
      <c r="F11" s="1"/>
      <c r="G11" s="1"/>
      <c r="H11" s="1"/>
      <c r="I11" s="1">
        <v>3.7</v>
      </c>
      <c r="J11" s="1"/>
      <c r="K11" s="1"/>
      <c r="L11" s="1"/>
      <c r="M11" s="1"/>
      <c r="N11" s="24">
        <v>0.3</v>
      </c>
      <c r="O11" s="16">
        <v>0.1</v>
      </c>
      <c r="P11" s="24"/>
      <c r="Q11" s="24">
        <v>1.5</v>
      </c>
      <c r="R11" s="24">
        <v>1</v>
      </c>
      <c r="S11" s="16"/>
      <c r="T11" s="1"/>
      <c r="U11" s="1"/>
      <c r="V11" s="1"/>
      <c r="W11" s="1"/>
      <c r="X11" s="1"/>
      <c r="Y11" s="1"/>
      <c r="Z11" s="1">
        <v>3.7</v>
      </c>
      <c r="AA11" s="1"/>
      <c r="AB11" s="1"/>
      <c r="AE11" s="1">
        <f>(N11*0.4)+N11</f>
        <v>0.42</v>
      </c>
      <c r="AF11" s="1">
        <f>(O11*0.45)+O11</f>
        <v>0.14500000000000002</v>
      </c>
      <c r="AH11" s="1">
        <f>(Q11*0.55)+Q11</f>
        <v>2.3250000000000002</v>
      </c>
      <c r="AI11" s="1">
        <f>(R11*0.55)+R11</f>
        <v>1.55</v>
      </c>
    </row>
    <row r="12" spans="1:35" ht="16" x14ac:dyDescent="0.2">
      <c r="A12" s="21" t="s">
        <v>455</v>
      </c>
      <c r="B12" s="16" t="s">
        <v>1267</v>
      </c>
      <c r="C12" s="1"/>
      <c r="D12" s="1"/>
      <c r="E12" s="1"/>
      <c r="F12" s="1"/>
      <c r="G12" s="1"/>
      <c r="H12" s="1"/>
      <c r="I12" s="1"/>
      <c r="J12" s="1">
        <v>5.7</v>
      </c>
      <c r="K12" s="1"/>
      <c r="L12" s="1"/>
      <c r="M12" s="1"/>
      <c r="N12" s="21"/>
      <c r="O12" s="21"/>
      <c r="P12" s="21"/>
      <c r="Q12" s="21"/>
      <c r="R12" s="21"/>
      <c r="S12" s="16"/>
      <c r="T12" s="1"/>
      <c r="U12" s="1"/>
      <c r="V12" s="1"/>
      <c r="W12" s="1"/>
      <c r="X12" s="1"/>
      <c r="Y12" s="1"/>
      <c r="Z12" s="1"/>
      <c r="AA12" s="1">
        <v>5.7</v>
      </c>
      <c r="AB12" s="1"/>
      <c r="AH12" s="1"/>
    </row>
    <row r="13" spans="1:35" ht="16" x14ac:dyDescent="0.2">
      <c r="A13" s="21" t="s">
        <v>456</v>
      </c>
      <c r="B13" s="16" t="s">
        <v>1268</v>
      </c>
      <c r="C13" s="1"/>
      <c r="D13" s="1"/>
      <c r="E13" s="1"/>
      <c r="F13" s="1"/>
      <c r="G13" s="1"/>
      <c r="H13" s="1"/>
      <c r="I13" s="1"/>
      <c r="J13" s="1">
        <v>4.2</v>
      </c>
      <c r="K13" s="1">
        <v>1.6</v>
      </c>
      <c r="L13" s="1">
        <v>0.5</v>
      </c>
      <c r="M13" s="1"/>
      <c r="N13" s="21"/>
      <c r="O13" s="21"/>
      <c r="P13" s="21"/>
      <c r="Q13" s="24">
        <v>0.7</v>
      </c>
      <c r="S13" s="16"/>
      <c r="T13" s="1"/>
      <c r="U13" s="1"/>
      <c r="V13" s="1"/>
      <c r="W13" s="1"/>
      <c r="X13" s="1"/>
      <c r="Y13" s="1"/>
      <c r="Z13" s="1"/>
      <c r="AA13" s="1">
        <v>4.2</v>
      </c>
      <c r="AB13" s="1">
        <f>(K13*0.15)+K13</f>
        <v>1.84</v>
      </c>
      <c r="AC13" s="1">
        <f>(L13*0.35)+L13</f>
        <v>0.67500000000000004</v>
      </c>
      <c r="AH13" s="1">
        <f>(Q13*0.5)+Q13</f>
        <v>1.0499999999999998</v>
      </c>
    </row>
    <row r="14" spans="1:35" ht="16" x14ac:dyDescent="0.2">
      <c r="A14" s="21" t="s">
        <v>1557</v>
      </c>
      <c r="B14" s="16" t="s">
        <v>1558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1"/>
      <c r="O14" s="21"/>
      <c r="P14" s="21"/>
      <c r="Q14" s="16">
        <v>2.9</v>
      </c>
      <c r="R14" s="16">
        <v>4.4000000000000004</v>
      </c>
      <c r="S14" s="16"/>
      <c r="T14" s="1"/>
      <c r="U14" s="1"/>
      <c r="V14" s="1"/>
      <c r="W14" s="1"/>
      <c r="X14" s="1"/>
      <c r="Y14" s="1"/>
      <c r="Z14" s="1"/>
      <c r="AA14" s="1"/>
      <c r="AB14" s="1"/>
      <c r="AC14" s="1"/>
      <c r="AH14" s="1">
        <v>2.9</v>
      </c>
      <c r="AI14" s="1">
        <v>2.9</v>
      </c>
    </row>
    <row r="15" spans="1:35" ht="16" x14ac:dyDescent="0.2">
      <c r="A15" s="21" t="s">
        <v>457</v>
      </c>
      <c r="B15" s="16" t="s">
        <v>1269</v>
      </c>
      <c r="C15" s="1"/>
      <c r="D15" s="1"/>
      <c r="E15" s="1"/>
      <c r="F15" s="1"/>
      <c r="G15" s="1"/>
      <c r="H15" s="1"/>
      <c r="I15" s="1">
        <v>3.3</v>
      </c>
      <c r="J15" s="1">
        <v>8.9</v>
      </c>
      <c r="K15" s="1">
        <v>3.1</v>
      </c>
      <c r="L15" s="1"/>
      <c r="M15" s="1"/>
      <c r="N15" s="21"/>
      <c r="O15" s="21"/>
      <c r="P15" s="21"/>
      <c r="Q15" s="21"/>
      <c r="R15" s="21"/>
      <c r="S15" s="16"/>
      <c r="T15" s="1"/>
      <c r="U15" s="1"/>
      <c r="V15" s="1"/>
      <c r="W15" s="1"/>
      <c r="X15" s="1"/>
      <c r="Y15" s="1"/>
      <c r="Z15" s="1">
        <v>3.3</v>
      </c>
      <c r="AA15" s="1">
        <f>(J15*0.05)+J15</f>
        <v>9.3450000000000006</v>
      </c>
      <c r="AB15" s="1">
        <f>(K15*0.2)+K15</f>
        <v>3.72</v>
      </c>
      <c r="AH15" s="1"/>
    </row>
    <row r="16" spans="1:35" ht="16" x14ac:dyDescent="0.2">
      <c r="A16" s="21" t="s">
        <v>458</v>
      </c>
      <c r="B16" s="16" t="s">
        <v>1270</v>
      </c>
      <c r="C16" s="1"/>
      <c r="D16" s="1"/>
      <c r="E16" s="1"/>
      <c r="F16" s="1"/>
      <c r="G16" s="1"/>
      <c r="H16" s="1">
        <v>4.0999999999999996</v>
      </c>
      <c r="I16" s="1">
        <v>1.7</v>
      </c>
      <c r="J16" s="1"/>
      <c r="K16" s="1"/>
      <c r="L16" s="1"/>
      <c r="M16" s="1"/>
      <c r="N16" s="21"/>
      <c r="O16" s="21"/>
      <c r="P16" s="21"/>
      <c r="Q16" s="21"/>
      <c r="R16" s="21"/>
      <c r="S16" s="16"/>
      <c r="T16" s="1"/>
      <c r="U16" s="1"/>
      <c r="V16" s="1"/>
      <c r="W16" s="1"/>
      <c r="X16" s="1"/>
      <c r="Y16" s="1">
        <v>4.0999999999999996</v>
      </c>
      <c r="Z16" s="1">
        <f>(I16*0.2)+I16</f>
        <v>2.04</v>
      </c>
      <c r="AA16" s="1"/>
      <c r="AB16" s="1"/>
      <c r="AH16" s="1"/>
    </row>
    <row r="17" spans="1:35" ht="16" x14ac:dyDescent="0.2">
      <c r="A17" s="16" t="s">
        <v>459</v>
      </c>
      <c r="B17" s="16" t="s">
        <v>1271</v>
      </c>
      <c r="C17" s="1"/>
      <c r="D17" s="1"/>
      <c r="E17" s="1"/>
      <c r="F17" s="1"/>
      <c r="G17" s="1"/>
      <c r="H17" s="1">
        <v>3.3</v>
      </c>
      <c r="I17" s="1">
        <v>1.7</v>
      </c>
      <c r="J17" s="1"/>
      <c r="K17" s="1"/>
      <c r="L17" s="1"/>
      <c r="M17" s="1"/>
      <c r="N17" s="16"/>
      <c r="O17" s="16"/>
      <c r="P17" s="16"/>
      <c r="Q17" s="16"/>
      <c r="R17" s="16"/>
      <c r="S17" s="16"/>
      <c r="T17" s="1"/>
      <c r="U17" s="1"/>
      <c r="V17" s="1"/>
      <c r="W17" s="1"/>
      <c r="X17" s="1"/>
      <c r="Y17" s="1">
        <v>3.3</v>
      </c>
      <c r="Z17" s="1">
        <f>(I17*0.2)+I17</f>
        <v>2.04</v>
      </c>
      <c r="AA17" s="1"/>
      <c r="AB17" s="1"/>
      <c r="AH17" s="1"/>
    </row>
    <row r="18" spans="1:35" ht="16" x14ac:dyDescent="0.2">
      <c r="A18" s="21" t="s">
        <v>461</v>
      </c>
      <c r="B18" s="16" t="s">
        <v>1272</v>
      </c>
      <c r="C18" s="1"/>
      <c r="D18" s="1"/>
      <c r="E18" s="1"/>
      <c r="F18" s="1">
        <v>3.4</v>
      </c>
      <c r="G18" s="1"/>
      <c r="H18" s="1"/>
      <c r="I18" s="1"/>
      <c r="J18" s="1"/>
      <c r="K18" s="1"/>
      <c r="L18" s="1"/>
      <c r="M18" s="1"/>
      <c r="N18" s="21"/>
      <c r="O18" s="21"/>
      <c r="P18" s="21"/>
      <c r="Q18" s="21"/>
      <c r="R18" s="21"/>
      <c r="S18" s="16"/>
      <c r="T18" s="1"/>
      <c r="U18" s="1"/>
      <c r="V18" s="1"/>
      <c r="W18" s="1">
        <v>3.4</v>
      </c>
      <c r="X18" s="1"/>
      <c r="Y18" s="1"/>
      <c r="Z18" s="1"/>
      <c r="AA18" s="1"/>
      <c r="AB18" s="1"/>
      <c r="AH18" s="1"/>
    </row>
    <row r="19" spans="1:35" ht="16" x14ac:dyDescent="0.2">
      <c r="A19" s="21" t="s">
        <v>1491</v>
      </c>
      <c r="B19" s="16" t="s">
        <v>1492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1"/>
      <c r="O19" s="16">
        <v>4.5</v>
      </c>
      <c r="P19" s="16">
        <v>2.9</v>
      </c>
      <c r="Q19" s="16">
        <v>0.6</v>
      </c>
      <c r="R19" s="16">
        <v>0.4</v>
      </c>
      <c r="S19" s="16"/>
      <c r="T19" s="1"/>
      <c r="U19" s="1"/>
      <c r="V19" s="1"/>
      <c r="W19" s="1"/>
      <c r="X19" s="1"/>
      <c r="Y19" s="1"/>
      <c r="Z19" s="1"/>
      <c r="AA19" s="1"/>
      <c r="AB19" s="1"/>
      <c r="AF19" s="1">
        <v>4.5</v>
      </c>
      <c r="AG19" s="1">
        <f>(P19*0.05)+P19</f>
        <v>3.0449999999999999</v>
      </c>
      <c r="AH19" s="1">
        <f>(Q19*0.1)+Q19</f>
        <v>0.65999999999999992</v>
      </c>
      <c r="AI19" s="1">
        <f>(R19*0.1)+R19</f>
        <v>0.44000000000000006</v>
      </c>
    </row>
    <row r="20" spans="1:35" ht="16" x14ac:dyDescent="0.2">
      <c r="A20" s="21" t="s">
        <v>462</v>
      </c>
      <c r="B20" s="16" t="s">
        <v>1273</v>
      </c>
      <c r="C20" s="1"/>
      <c r="D20" s="1"/>
      <c r="E20" s="1">
        <v>5.5</v>
      </c>
      <c r="F20" s="1">
        <v>1</v>
      </c>
      <c r="G20" s="1">
        <v>1.1000000000000001</v>
      </c>
      <c r="H20" s="1">
        <v>0.2</v>
      </c>
      <c r="I20" s="1"/>
      <c r="J20" s="1">
        <v>0.2</v>
      </c>
      <c r="K20" s="1">
        <v>0.2</v>
      </c>
      <c r="L20" s="1">
        <v>0.1</v>
      </c>
      <c r="M20" s="1">
        <v>0.1</v>
      </c>
      <c r="N20" s="39">
        <v>0.5</v>
      </c>
      <c r="O20" s="39">
        <v>0.1</v>
      </c>
      <c r="P20" s="39">
        <v>0.1</v>
      </c>
      <c r="Q20" s="43">
        <v>0.1</v>
      </c>
      <c r="R20" s="43"/>
      <c r="S20" s="16"/>
      <c r="T20" s="1"/>
      <c r="U20" s="1"/>
      <c r="V20" s="1">
        <v>5.5</v>
      </c>
      <c r="W20" s="1">
        <f>(F20*0.2)+F20</f>
        <v>1.2</v>
      </c>
      <c r="X20" s="1">
        <f>(G20*0.4)+G20</f>
        <v>1.54</v>
      </c>
      <c r="Y20" s="1">
        <f>(H20*0.6)+H20</f>
        <v>0.32</v>
      </c>
      <c r="Z20" s="1"/>
      <c r="AA20" s="1">
        <f>(J20*0.85)+J20</f>
        <v>0.37</v>
      </c>
      <c r="AB20" s="1">
        <f>(K20*1)+K20</f>
        <v>0.4</v>
      </c>
      <c r="AC20" s="1">
        <f>(L20*1.2)+L20</f>
        <v>0.22</v>
      </c>
      <c r="AD20" s="1">
        <f>(M20*1.2)+M20</f>
        <v>0.22</v>
      </c>
      <c r="AE20" s="1">
        <f>(N20*1.2)+N20</f>
        <v>1.1000000000000001</v>
      </c>
      <c r="AF20" s="1">
        <f>(O20*1.25)+O20</f>
        <v>0.22500000000000001</v>
      </c>
      <c r="AG20" s="1">
        <f>(P20*1.3)+P20</f>
        <v>0.23</v>
      </c>
      <c r="AH20" s="1">
        <f>(Q20*1.35)+Q20</f>
        <v>0.23500000000000001</v>
      </c>
    </row>
    <row r="21" spans="1:35" ht="16" x14ac:dyDescent="0.2">
      <c r="A21" s="21" t="s">
        <v>463</v>
      </c>
      <c r="B21" s="16" t="s">
        <v>1274</v>
      </c>
      <c r="C21" s="1"/>
      <c r="D21" s="1">
        <v>3.8</v>
      </c>
      <c r="E21" s="1">
        <v>0.2</v>
      </c>
      <c r="F21" s="1"/>
      <c r="G21" s="1"/>
      <c r="H21" s="1"/>
      <c r="I21" s="1"/>
      <c r="J21" s="1"/>
      <c r="K21" s="1"/>
      <c r="L21" s="1"/>
      <c r="M21" s="1"/>
      <c r="N21" s="15"/>
      <c r="O21" s="15"/>
      <c r="P21" s="15"/>
      <c r="Q21" s="15"/>
      <c r="R21" s="15"/>
      <c r="S21" s="16"/>
      <c r="T21" s="1"/>
      <c r="U21" s="1">
        <v>3.8</v>
      </c>
      <c r="V21" s="1">
        <f>(E21*0.15)+E21</f>
        <v>0.23</v>
      </c>
      <c r="W21" s="1"/>
      <c r="X21" s="1"/>
      <c r="Y21" s="1"/>
      <c r="Z21" s="1"/>
      <c r="AA21" s="3"/>
      <c r="AB21" s="1"/>
      <c r="AE21" s="3"/>
      <c r="AG21" s="3"/>
      <c r="AH21" s="1"/>
    </row>
    <row r="22" spans="1:35" ht="16" x14ac:dyDescent="0.2">
      <c r="A22" s="1" t="s">
        <v>116</v>
      </c>
      <c r="B22" s="16" t="s">
        <v>1275</v>
      </c>
      <c r="C22" s="1"/>
      <c r="D22" s="1"/>
      <c r="E22" s="1"/>
      <c r="F22" s="1">
        <v>42.7</v>
      </c>
      <c r="G22" s="1">
        <v>19.899999999999999</v>
      </c>
      <c r="H22" s="1">
        <v>3</v>
      </c>
      <c r="I22" s="1"/>
      <c r="J22" s="1">
        <v>0.2</v>
      </c>
      <c r="K22" s="1"/>
      <c r="L22" s="1"/>
      <c r="M22" s="1"/>
      <c r="N22" s="1"/>
      <c r="O22" s="1"/>
      <c r="P22" s="1">
        <v>0.3</v>
      </c>
      <c r="Q22" s="1"/>
      <c r="R22" s="1"/>
      <c r="S22" s="16"/>
      <c r="T22" s="1"/>
      <c r="U22" s="1"/>
      <c r="V22" s="1"/>
      <c r="W22" s="1">
        <v>42.7</v>
      </c>
      <c r="X22" s="1">
        <f>(G22*0.2)+G22</f>
        <v>23.88</v>
      </c>
      <c r="Y22" s="1">
        <f>(H22*0.4)+H22</f>
        <v>4.2</v>
      </c>
      <c r="Z22" s="1"/>
      <c r="AA22" s="1">
        <f>(J22*0.65)+J22</f>
        <v>0.33</v>
      </c>
      <c r="AB22" s="1"/>
      <c r="AG22" s="1">
        <f>(P22*1.1)+P22</f>
        <v>0.63</v>
      </c>
      <c r="AH22" s="1"/>
    </row>
    <row r="23" spans="1:35" ht="16" x14ac:dyDescent="0.2">
      <c r="A23" s="1" t="s">
        <v>114</v>
      </c>
      <c r="B23" s="16" t="s">
        <v>1276</v>
      </c>
      <c r="C23" s="1"/>
      <c r="D23" s="1"/>
      <c r="E23" s="1"/>
      <c r="F23" s="1"/>
      <c r="G23" s="1">
        <v>8.1</v>
      </c>
      <c r="H23" s="1">
        <v>9.4</v>
      </c>
      <c r="I23" s="1">
        <v>7.3</v>
      </c>
      <c r="J23" s="1">
        <v>4.5</v>
      </c>
      <c r="K23" s="1"/>
      <c r="L23" s="1">
        <v>0.5</v>
      </c>
      <c r="M23" s="1">
        <v>0.5</v>
      </c>
      <c r="N23" s="1">
        <v>0.5</v>
      </c>
      <c r="O23" s="1">
        <v>0.3</v>
      </c>
      <c r="P23" s="1">
        <v>0.4</v>
      </c>
      <c r="Q23" s="1"/>
      <c r="R23" s="3">
        <v>0.2</v>
      </c>
      <c r="S23" s="16"/>
      <c r="T23" s="1"/>
      <c r="U23" s="1"/>
      <c r="V23" s="1"/>
      <c r="W23" s="1"/>
      <c r="X23" s="1">
        <v>8.1</v>
      </c>
      <c r="Y23" s="1">
        <f>(H23*0.2)+H23</f>
        <v>11.280000000000001</v>
      </c>
      <c r="Z23" s="1">
        <f>(I23*0.4)+I23</f>
        <v>10.219999999999999</v>
      </c>
      <c r="AA23" s="1">
        <f>(J23*0.45)+J23</f>
        <v>6.5250000000000004</v>
      </c>
      <c r="AB23" s="1"/>
      <c r="AC23" s="1">
        <f>(L23*0.8)+L23</f>
        <v>0.9</v>
      </c>
      <c r="AD23" s="1">
        <f>(M23*0.8)+M23</f>
        <v>0.9</v>
      </c>
      <c r="AE23" s="1">
        <f>(N23*0.8)+N23</f>
        <v>0.9</v>
      </c>
      <c r="AF23" s="1">
        <f>(O23*0.85)+O23</f>
        <v>0.55499999999999994</v>
      </c>
      <c r="AG23" s="1">
        <f>(P23*0.9)+P23</f>
        <v>0.76</v>
      </c>
      <c r="AH23" s="1"/>
      <c r="AI23" s="1">
        <f>(R23*0.95)+R23</f>
        <v>0.39</v>
      </c>
    </row>
    <row r="24" spans="1:35" ht="16" x14ac:dyDescent="0.2">
      <c r="A24" s="1" t="s">
        <v>142</v>
      </c>
      <c r="B24" s="16" t="s">
        <v>1335</v>
      </c>
      <c r="C24" s="1"/>
      <c r="D24" s="1"/>
      <c r="E24" s="1"/>
      <c r="F24" s="1"/>
      <c r="G24" s="1"/>
      <c r="H24" s="1"/>
      <c r="I24" s="1">
        <v>0.3</v>
      </c>
      <c r="J24" s="1"/>
      <c r="K24" s="1">
        <v>4.2</v>
      </c>
      <c r="L24" s="1">
        <v>2.2999999999999998</v>
      </c>
      <c r="M24" s="1"/>
      <c r="N24" s="1">
        <v>0.3</v>
      </c>
      <c r="O24" s="1"/>
      <c r="P24" s="1"/>
      <c r="Q24" s="1"/>
      <c r="R24" s="1"/>
      <c r="S24" s="16"/>
      <c r="T24" s="1"/>
      <c r="U24" s="1"/>
      <c r="V24" s="1"/>
      <c r="W24" s="1"/>
      <c r="X24" s="1"/>
      <c r="Y24" s="1"/>
      <c r="Z24" s="1">
        <v>0.3</v>
      </c>
      <c r="AA24" s="1"/>
      <c r="AB24" s="1">
        <f>(K24*0.2)+K24</f>
        <v>5.04</v>
      </c>
      <c r="AC24" s="1">
        <f>(L24*0.4)+L24</f>
        <v>3.2199999999999998</v>
      </c>
      <c r="AD24" s="1"/>
      <c r="AE24" s="1">
        <f>(N24*0.4)+N24</f>
        <v>0.42</v>
      </c>
      <c r="AF24" s="1"/>
      <c r="AG24" s="1"/>
      <c r="AH24" s="1"/>
    </row>
    <row r="25" spans="1:35" ht="16" x14ac:dyDescent="0.2">
      <c r="A25" s="1" t="s">
        <v>1470</v>
      </c>
      <c r="B25" s="16" t="s">
        <v>1471</v>
      </c>
      <c r="C25" s="1"/>
      <c r="D25" s="1"/>
      <c r="E25" s="1"/>
      <c r="F25" s="1"/>
      <c r="G25" s="1"/>
      <c r="H25" s="1"/>
      <c r="I25" s="1"/>
      <c r="J25" s="1"/>
      <c r="K25" s="1"/>
      <c r="L25" s="1">
        <v>4.7</v>
      </c>
      <c r="M25" s="1">
        <v>5</v>
      </c>
      <c r="N25" s="1">
        <v>2.2999999999999998</v>
      </c>
      <c r="O25" s="1">
        <v>1</v>
      </c>
      <c r="P25" s="1">
        <v>2.1</v>
      </c>
      <c r="Q25" s="1">
        <v>1.4</v>
      </c>
      <c r="R25" s="1"/>
      <c r="S25" s="16"/>
      <c r="T25" s="1"/>
      <c r="U25" s="1"/>
      <c r="V25" s="1"/>
      <c r="W25" s="1"/>
      <c r="X25" s="1"/>
      <c r="Y25" s="1"/>
      <c r="Z25" s="1"/>
      <c r="AA25" s="1"/>
      <c r="AB25" s="1"/>
      <c r="AC25" s="1">
        <v>4.7</v>
      </c>
      <c r="AD25" s="1">
        <v>5</v>
      </c>
      <c r="AE25" s="1">
        <v>2.2999999999999998</v>
      </c>
      <c r="AF25" s="1">
        <f>(O25*0.05)+O25</f>
        <v>1.05</v>
      </c>
      <c r="AG25" s="1">
        <f>(P25*0.1)+P25</f>
        <v>2.31</v>
      </c>
      <c r="AH25" s="1">
        <f>(Q25*0.15)+Q25</f>
        <v>1.6099999999999999</v>
      </c>
    </row>
    <row r="26" spans="1:35" ht="16" x14ac:dyDescent="0.2">
      <c r="A26" s="1" t="s">
        <v>1473</v>
      </c>
      <c r="B26" s="16" t="s">
        <v>1474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v>25.3</v>
      </c>
      <c r="O26" s="1">
        <v>19.5</v>
      </c>
      <c r="P26" s="1">
        <v>23.5</v>
      </c>
      <c r="Q26" s="1">
        <v>13.9</v>
      </c>
      <c r="R26" s="1">
        <v>13.7</v>
      </c>
      <c r="S26" s="16"/>
      <c r="T26" s="1"/>
      <c r="U26" s="1"/>
      <c r="V26" s="1"/>
      <c r="W26" s="1"/>
      <c r="X26" s="1"/>
      <c r="Y26" s="1"/>
      <c r="Z26" s="1"/>
      <c r="AA26" s="1"/>
      <c r="AB26" s="1"/>
      <c r="AE26" s="1">
        <v>25.3</v>
      </c>
      <c r="AF26" s="1">
        <f>(O26*0.05)+O26</f>
        <v>20.475000000000001</v>
      </c>
      <c r="AG26" s="1">
        <f>(P26*0.1)+P26</f>
        <v>25.85</v>
      </c>
      <c r="AH26" s="1">
        <f>(Q26*0.15)+Q26</f>
        <v>15.984999999999999</v>
      </c>
      <c r="AI26" s="1">
        <f>(R26*0.15)+R26</f>
        <v>15.754999999999999</v>
      </c>
    </row>
    <row r="27" spans="1:35" ht="16" x14ac:dyDescent="0.2">
      <c r="A27" s="1" t="s">
        <v>1468</v>
      </c>
      <c r="B27" s="16" t="s">
        <v>1469</v>
      </c>
      <c r="C27" s="1"/>
      <c r="D27" s="1"/>
      <c r="E27" s="1"/>
      <c r="F27" s="1"/>
      <c r="G27" s="1"/>
      <c r="H27" s="1"/>
      <c r="I27" s="1"/>
      <c r="J27" s="1"/>
      <c r="K27" s="1"/>
      <c r="L27" s="1">
        <v>17.399999999999999</v>
      </c>
      <c r="M27" s="1">
        <v>23.8</v>
      </c>
      <c r="N27" s="1">
        <v>9.4</v>
      </c>
      <c r="O27" s="1">
        <v>3.7</v>
      </c>
      <c r="P27" s="1">
        <v>3.9</v>
      </c>
      <c r="Q27" s="1">
        <v>5.8</v>
      </c>
      <c r="R27" s="1">
        <v>6.6</v>
      </c>
      <c r="S27" s="16"/>
      <c r="T27" s="1"/>
      <c r="U27" s="1"/>
      <c r="V27" s="1"/>
      <c r="W27" s="1"/>
      <c r="X27" s="1"/>
      <c r="Y27" s="1"/>
      <c r="Z27" s="1"/>
      <c r="AA27" s="1"/>
      <c r="AB27" s="1"/>
      <c r="AC27" s="1">
        <v>17.399999999999999</v>
      </c>
      <c r="AD27" s="1">
        <v>23.8</v>
      </c>
      <c r="AE27" s="1">
        <v>9.4</v>
      </c>
      <c r="AF27" s="1">
        <f>(O27*0.05)+O27</f>
        <v>3.8850000000000002</v>
      </c>
      <c r="AG27" s="1">
        <f>(P27*0.1)+P27</f>
        <v>4.29</v>
      </c>
      <c r="AH27" s="1">
        <f>(Q27*0.15)+Q27</f>
        <v>6.67</v>
      </c>
      <c r="AI27" s="1">
        <f>(R27*0.15)+R27</f>
        <v>7.59</v>
      </c>
    </row>
    <row r="28" spans="1:35" ht="16" x14ac:dyDescent="0.2">
      <c r="A28" s="1" t="s">
        <v>1461</v>
      </c>
      <c r="B28" s="16" t="s">
        <v>1472</v>
      </c>
      <c r="C28" s="1"/>
      <c r="D28" s="1"/>
      <c r="E28" s="1"/>
      <c r="F28" s="1"/>
      <c r="G28" s="1"/>
      <c r="H28" s="1"/>
      <c r="I28" s="1"/>
      <c r="K28" s="1">
        <v>1.1000000000000001</v>
      </c>
      <c r="L28" s="1">
        <v>2.4</v>
      </c>
      <c r="M28" s="1">
        <v>3</v>
      </c>
      <c r="N28" s="1">
        <v>4.8</v>
      </c>
      <c r="O28" s="1">
        <v>9.8000000000000007</v>
      </c>
      <c r="P28" s="1">
        <v>13.6</v>
      </c>
      <c r="Q28" s="1">
        <v>13.4</v>
      </c>
      <c r="R28" s="1">
        <v>12.9</v>
      </c>
      <c r="S28" s="16"/>
      <c r="T28" s="1"/>
      <c r="U28" s="1"/>
      <c r="V28" s="1"/>
      <c r="W28" s="1"/>
      <c r="X28" s="1"/>
      <c r="Y28" s="1"/>
      <c r="Z28" s="1"/>
      <c r="AA28" s="1"/>
      <c r="AB28" s="1">
        <v>1.1000000000000001</v>
      </c>
      <c r="AC28" s="1">
        <f t="shared" ref="AC28:AE29" si="1">(L28*0.2)+L28</f>
        <v>2.88</v>
      </c>
      <c r="AD28" s="1">
        <f t="shared" si="1"/>
        <v>3.6</v>
      </c>
      <c r="AE28" s="1">
        <f t="shared" si="1"/>
        <v>5.76</v>
      </c>
      <c r="AF28" s="1">
        <f>(O28*0.25)+O28</f>
        <v>12.25</v>
      </c>
      <c r="AG28" s="1">
        <f>(P28*0.3)+P28</f>
        <v>17.68</v>
      </c>
      <c r="AH28" s="1">
        <f>(Q28*0.35)+Q28</f>
        <v>18.09</v>
      </c>
      <c r="AI28" s="1">
        <f>(R28*0.35)+R28</f>
        <v>17.414999999999999</v>
      </c>
    </row>
    <row r="29" spans="1:35" ht="16" x14ac:dyDescent="0.2">
      <c r="A29" s="1" t="s">
        <v>1475</v>
      </c>
      <c r="B29" s="16" t="s">
        <v>1476</v>
      </c>
      <c r="C29" s="1"/>
      <c r="D29" s="1"/>
      <c r="E29" s="1"/>
      <c r="F29" s="1"/>
      <c r="G29" s="1"/>
      <c r="H29" s="1"/>
      <c r="I29" s="1"/>
      <c r="K29" s="1">
        <v>2.9</v>
      </c>
      <c r="L29" s="14">
        <v>9.3000000000000007</v>
      </c>
      <c r="M29" s="14">
        <v>12.5</v>
      </c>
      <c r="N29" s="14">
        <v>6.3</v>
      </c>
      <c r="O29" s="14">
        <v>7.2</v>
      </c>
      <c r="P29" s="14"/>
      <c r="Q29" s="14"/>
      <c r="R29" s="14"/>
      <c r="S29" s="16"/>
      <c r="T29" s="1"/>
      <c r="U29" s="1"/>
      <c r="V29" s="1"/>
      <c r="W29" s="1"/>
      <c r="X29" s="1"/>
      <c r="Y29" s="1"/>
      <c r="Z29" s="1"/>
      <c r="AA29" s="1"/>
      <c r="AB29" s="1">
        <v>2.9</v>
      </c>
      <c r="AC29" s="1">
        <f t="shared" si="1"/>
        <v>11.16</v>
      </c>
      <c r="AD29" s="1">
        <f t="shared" si="1"/>
        <v>15</v>
      </c>
      <c r="AE29" s="1">
        <f t="shared" si="1"/>
        <v>7.56</v>
      </c>
      <c r="AF29" s="1">
        <f>(O29*0.25)+O29</f>
        <v>9</v>
      </c>
      <c r="AG29" s="1"/>
    </row>
    <row r="30" spans="1:35" ht="16" x14ac:dyDescent="0.2">
      <c r="A30" s="1" t="s">
        <v>117</v>
      </c>
      <c r="B30" s="16" t="s">
        <v>1277</v>
      </c>
      <c r="C30" s="1"/>
      <c r="D30" s="1"/>
      <c r="E30" s="1"/>
      <c r="F30" s="1"/>
      <c r="G30" s="1">
        <v>6.4</v>
      </c>
      <c r="H30" s="1">
        <v>6.8</v>
      </c>
      <c r="I30" s="1">
        <v>2.9</v>
      </c>
      <c r="K30" s="3">
        <v>2.5</v>
      </c>
      <c r="L30" s="1"/>
      <c r="M30" s="1"/>
      <c r="N30" s="1"/>
      <c r="O30" s="1"/>
      <c r="P30" s="1"/>
      <c r="Q30" s="1"/>
      <c r="R30" s="1"/>
      <c r="S30" s="16"/>
      <c r="T30" s="1"/>
      <c r="U30" s="1"/>
      <c r="V30" s="1"/>
      <c r="W30" s="1"/>
      <c r="X30" s="1">
        <v>6.4</v>
      </c>
      <c r="Y30" s="1">
        <f>(H30*0.2)+H30</f>
        <v>8.16</v>
      </c>
      <c r="Z30" s="1">
        <f>(I30*0.4)+I30</f>
        <v>4.0599999999999996</v>
      </c>
      <c r="AA30" s="1"/>
      <c r="AB30" s="1">
        <f>(K30*0.6)+K30</f>
        <v>4</v>
      </c>
      <c r="AC30" s="1"/>
      <c r="AD30" s="1"/>
      <c r="AE30" s="1"/>
      <c r="AF30" s="1"/>
    </row>
    <row r="31" spans="1:35" ht="16" x14ac:dyDescent="0.2">
      <c r="A31" s="1" t="s">
        <v>1551</v>
      </c>
      <c r="B31" s="16" t="s">
        <v>1552</v>
      </c>
      <c r="C31" s="1"/>
      <c r="D31" s="1"/>
      <c r="E31" s="1"/>
      <c r="F31" s="1"/>
      <c r="G31" s="1"/>
      <c r="H31" s="1"/>
      <c r="I31" s="1"/>
      <c r="K31" s="3"/>
      <c r="L31" s="1"/>
      <c r="M31" s="1"/>
      <c r="N31" s="1"/>
      <c r="O31" s="1"/>
      <c r="P31" s="1"/>
      <c r="Q31" s="1">
        <v>4.5</v>
      </c>
      <c r="R31" s="1">
        <v>3.9</v>
      </c>
      <c r="S31" s="16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H31" s="1">
        <v>4.5</v>
      </c>
      <c r="AI31" s="1">
        <v>3.9</v>
      </c>
    </row>
    <row r="32" spans="1:35" ht="16" x14ac:dyDescent="0.2">
      <c r="A32" s="1" t="s">
        <v>111</v>
      </c>
      <c r="B32" s="16" t="s">
        <v>1278</v>
      </c>
      <c r="C32" s="1"/>
      <c r="D32" s="1"/>
      <c r="E32" s="1"/>
      <c r="F32" s="1"/>
      <c r="G32" s="1"/>
      <c r="H32" s="1">
        <v>39.700000000000003</v>
      </c>
      <c r="I32" s="1">
        <v>30.5</v>
      </c>
      <c r="J32" s="1">
        <v>32.700000000000003</v>
      </c>
      <c r="K32" s="1">
        <v>32.700000000000003</v>
      </c>
      <c r="L32" s="1">
        <v>25.8</v>
      </c>
      <c r="M32" s="1">
        <v>23.2</v>
      </c>
      <c r="N32" s="1">
        <v>22.4</v>
      </c>
      <c r="O32" s="1">
        <v>24.5</v>
      </c>
      <c r="P32" s="1">
        <v>25.4</v>
      </c>
      <c r="Q32" s="1">
        <v>24</v>
      </c>
      <c r="R32" s="1">
        <v>25.5</v>
      </c>
      <c r="S32" s="16"/>
      <c r="T32" s="1"/>
      <c r="U32" s="1"/>
      <c r="V32" s="1"/>
      <c r="W32" s="1"/>
      <c r="X32" s="1"/>
      <c r="Y32" s="1">
        <v>39.700000000000003</v>
      </c>
      <c r="Z32" s="1">
        <f>(I32*0.2)+I32</f>
        <v>36.6</v>
      </c>
      <c r="AA32" s="1">
        <f>(J32*0.3)+J32</f>
        <v>42.510000000000005</v>
      </c>
      <c r="AB32" s="1">
        <f>(K32*0.45)+K32</f>
        <v>47.415000000000006</v>
      </c>
      <c r="AC32" s="1">
        <f>(L32*0.65)+L32</f>
        <v>42.57</v>
      </c>
      <c r="AD32" s="1">
        <f>(M32*0.65)+M32</f>
        <v>38.28</v>
      </c>
      <c r="AE32" s="1">
        <f>(N32*0.65)+N32</f>
        <v>36.959999999999994</v>
      </c>
      <c r="AF32" s="1">
        <f>(O32*0.7)+O32</f>
        <v>41.65</v>
      </c>
      <c r="AG32" s="1">
        <f>(P32*0.75)+P32</f>
        <v>44.449999999999996</v>
      </c>
      <c r="AH32" s="1">
        <f>(Q32*0.8)+Q32</f>
        <v>43.2</v>
      </c>
      <c r="AI32" s="1">
        <f>(R32*0.8)+R32</f>
        <v>45.900000000000006</v>
      </c>
    </row>
    <row r="33" spans="1:35" ht="16" x14ac:dyDescent="0.2">
      <c r="A33" s="1" t="s">
        <v>460</v>
      </c>
      <c r="B33" s="16" t="s">
        <v>1279</v>
      </c>
      <c r="C33" s="1"/>
      <c r="D33" s="1"/>
      <c r="E33" s="1"/>
      <c r="F33" s="1">
        <v>3.6</v>
      </c>
      <c r="G33" s="1"/>
      <c r="H33" s="1"/>
      <c r="I33" s="1">
        <v>1.9</v>
      </c>
      <c r="J33" s="1">
        <v>7.3</v>
      </c>
      <c r="K33" s="1">
        <v>9.1</v>
      </c>
      <c r="L33" s="1">
        <v>3.6</v>
      </c>
      <c r="M33" s="1">
        <v>3.1</v>
      </c>
      <c r="N33" s="1">
        <v>1.1000000000000001</v>
      </c>
      <c r="O33" s="1">
        <v>0.8</v>
      </c>
      <c r="P33" s="1"/>
      <c r="Q33" s="3">
        <v>1</v>
      </c>
      <c r="R33" s="3"/>
      <c r="S33" s="16"/>
      <c r="T33" s="1"/>
      <c r="U33" s="1"/>
      <c r="V33" s="1"/>
      <c r="W33" s="1">
        <v>3.6</v>
      </c>
      <c r="X33" s="1"/>
      <c r="Y33" s="1"/>
      <c r="Z33" s="1">
        <f>(I33*0.6)+I33</f>
        <v>3.04</v>
      </c>
      <c r="AA33" s="1">
        <f>(J33*0.7)+J33</f>
        <v>12.41</v>
      </c>
      <c r="AB33" s="1">
        <f>(K33*0.85)+K33</f>
        <v>16.835000000000001</v>
      </c>
      <c r="AC33" s="1">
        <f>(L33*1.05)+L33</f>
        <v>7.3800000000000008</v>
      </c>
      <c r="AD33" s="1">
        <f>(M33*1.05)+M33</f>
        <v>6.3550000000000004</v>
      </c>
      <c r="AE33" s="1">
        <f>(N33*1.05)+N33</f>
        <v>2.2550000000000003</v>
      </c>
      <c r="AF33" s="1">
        <f>(O33*1.1)+O33</f>
        <v>1.6800000000000002</v>
      </c>
      <c r="AG33" s="1"/>
      <c r="AH33" s="1">
        <f>(Q33*1.2)+Q33</f>
        <v>2.2000000000000002</v>
      </c>
    </row>
    <row r="34" spans="1:35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3" t="s">
        <v>14</v>
      </c>
      <c r="T34" s="1">
        <f>SUM(T2:T33)</f>
        <v>86.9</v>
      </c>
      <c r="U34" s="1">
        <f>SUM(U2:U33)</f>
        <v>100.74499999999999</v>
      </c>
      <c r="V34" s="1">
        <f>SUM(V2:V33)</f>
        <v>118.7</v>
      </c>
      <c r="W34" s="1">
        <f>SUM(W2:W33)</f>
        <v>115.7</v>
      </c>
      <c r="X34" s="1">
        <f>SUM(X2:X33)</f>
        <v>132.67000000000002</v>
      </c>
      <c r="Y34" s="1">
        <f>SUM(Y3:Y33)</f>
        <v>131.29</v>
      </c>
      <c r="Z34" s="1">
        <f t="shared" ref="Z34:AI34" si="2">SUM(Z2:Z33)</f>
        <v>148.11000000000001</v>
      </c>
      <c r="AA34" s="1">
        <f t="shared" si="2"/>
        <v>146.32000000000002</v>
      </c>
      <c r="AB34" s="1">
        <f t="shared" si="2"/>
        <v>166.51000000000002</v>
      </c>
      <c r="AC34" s="1">
        <f t="shared" si="2"/>
        <v>154.10499999999999</v>
      </c>
      <c r="AD34" s="1">
        <f t="shared" si="2"/>
        <v>152.655</v>
      </c>
      <c r="AE34" s="1">
        <f t="shared" si="2"/>
        <v>149.625</v>
      </c>
      <c r="AF34" s="1">
        <f t="shared" si="2"/>
        <v>152.28000000000003</v>
      </c>
      <c r="AG34" s="1">
        <f t="shared" si="2"/>
        <v>155.92499999999998</v>
      </c>
      <c r="AH34" s="1">
        <f t="shared" si="2"/>
        <v>161.69999999999999</v>
      </c>
      <c r="AI34" s="1">
        <f t="shared" si="2"/>
        <v>152.065</v>
      </c>
    </row>
    <row r="35" spans="1:35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5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>
        <v>100</v>
      </c>
      <c r="U36" s="1">
        <v>115</v>
      </c>
      <c r="V36" s="1">
        <v>130</v>
      </c>
      <c r="W36" s="1">
        <v>150</v>
      </c>
      <c r="X36" s="1">
        <v>170</v>
      </c>
      <c r="Y36" s="1">
        <v>190</v>
      </c>
      <c r="Z36" s="1">
        <v>210</v>
      </c>
      <c r="AA36" s="1">
        <v>215</v>
      </c>
      <c r="AB36" s="1">
        <v>230</v>
      </c>
      <c r="AC36" s="1">
        <v>250</v>
      </c>
      <c r="AD36" s="1">
        <v>250</v>
      </c>
      <c r="AE36" s="1">
        <v>250</v>
      </c>
      <c r="AF36" s="1">
        <v>255</v>
      </c>
      <c r="AG36" s="1">
        <v>260</v>
      </c>
      <c r="AH36" s="1">
        <v>265</v>
      </c>
      <c r="AI36" s="1">
        <v>265</v>
      </c>
    </row>
    <row r="37" spans="1:35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5" x14ac:dyDescent="0.2">
      <c r="T38" s="1">
        <f>T34</f>
        <v>86.9</v>
      </c>
      <c r="U38" s="1">
        <f>SUM(T38+U34)</f>
        <v>187.64499999999998</v>
      </c>
      <c r="V38" s="1">
        <f>SUM(U38+V34)</f>
        <v>306.34499999999997</v>
      </c>
      <c r="W38" s="1">
        <f>SUM(V38+W34)</f>
        <v>422.04499999999996</v>
      </c>
      <c r="X38" s="1">
        <f t="shared" ref="X38:AC38" si="3">SUM(W38+X34)</f>
        <v>554.71499999999992</v>
      </c>
      <c r="Y38" s="1">
        <f t="shared" si="3"/>
        <v>686.00499999999988</v>
      </c>
      <c r="Z38" s="1">
        <f t="shared" si="3"/>
        <v>834.1149999999999</v>
      </c>
      <c r="AA38" s="1">
        <f t="shared" si="3"/>
        <v>980.43499999999995</v>
      </c>
      <c r="AB38" s="1">
        <f t="shared" si="3"/>
        <v>1146.9449999999999</v>
      </c>
      <c r="AC38" s="1">
        <f t="shared" si="3"/>
        <v>1301.05</v>
      </c>
      <c r="AD38" s="1">
        <f t="shared" ref="AD38" si="4">SUM(AC38+AD34)</f>
        <v>1453.7049999999999</v>
      </c>
      <c r="AE38" s="1">
        <f t="shared" ref="AE38" si="5">SUM(AD38+AE34)</f>
        <v>1603.33</v>
      </c>
      <c r="AF38" s="1">
        <f t="shared" ref="AF38" si="6">SUM(AE38+AF34)</f>
        <v>1755.61</v>
      </c>
      <c r="AG38" s="1">
        <f t="shared" ref="AG38:AI38" si="7">SUM(AF38+AG34)</f>
        <v>1911.5349999999999</v>
      </c>
      <c r="AH38" s="1">
        <f t="shared" si="7"/>
        <v>2073.2349999999997</v>
      </c>
      <c r="AI38" s="1">
        <f t="shared" si="7"/>
        <v>2225.2999999999997</v>
      </c>
    </row>
    <row r="39" spans="1:35" x14ac:dyDescent="0.2">
      <c r="T39" s="3"/>
      <c r="U39" s="3"/>
      <c r="V39" s="3"/>
      <c r="W39" s="3"/>
      <c r="X39" s="1"/>
      <c r="Y39" s="1"/>
      <c r="Z39" s="1"/>
    </row>
    <row r="40" spans="1:35" x14ac:dyDescent="0.2">
      <c r="T40" s="1">
        <v>100</v>
      </c>
      <c r="U40" s="1">
        <f>SUM(T40+U36)</f>
        <v>215</v>
      </c>
      <c r="V40" s="1">
        <f>SUM(U40+V36)</f>
        <v>345</v>
      </c>
      <c r="W40" s="1">
        <f>SUM(V40+W36)</f>
        <v>495</v>
      </c>
      <c r="X40" s="1">
        <f t="shared" ref="X40:AC40" si="8">SUM(W40+X36)</f>
        <v>665</v>
      </c>
      <c r="Y40" s="1">
        <f t="shared" si="8"/>
        <v>855</v>
      </c>
      <c r="Z40" s="1">
        <f t="shared" si="8"/>
        <v>1065</v>
      </c>
      <c r="AA40" s="1">
        <f t="shared" si="8"/>
        <v>1280</v>
      </c>
      <c r="AB40" s="1">
        <f t="shared" si="8"/>
        <v>1510</v>
      </c>
      <c r="AC40" s="1">
        <f t="shared" si="8"/>
        <v>1760</v>
      </c>
      <c r="AD40" s="1">
        <f t="shared" ref="AD40" si="9">SUM(AC40+AD36)</f>
        <v>2010</v>
      </c>
      <c r="AE40" s="1">
        <f t="shared" ref="AE40" si="10">SUM(AD40+AE36)</f>
        <v>2260</v>
      </c>
      <c r="AF40" s="1">
        <f t="shared" ref="AF40" si="11">SUM(AE40+AF36)</f>
        <v>2515</v>
      </c>
      <c r="AG40" s="1">
        <f t="shared" ref="AG40:AI40" si="12">SUM(AF40+AG36)</f>
        <v>2775</v>
      </c>
      <c r="AH40" s="1">
        <f t="shared" si="12"/>
        <v>3040</v>
      </c>
      <c r="AI40" s="1">
        <f t="shared" si="12"/>
        <v>3305</v>
      </c>
    </row>
    <row r="41" spans="1:35" ht="16" x14ac:dyDescent="0.2">
      <c r="A41" s="21"/>
      <c r="B41" s="21"/>
      <c r="C41" s="16"/>
    </row>
    <row r="42" spans="1:35" ht="16" x14ac:dyDescent="0.2">
      <c r="A42" s="21"/>
      <c r="B42" s="21"/>
      <c r="C42" s="16"/>
      <c r="T42" s="4" t="s">
        <v>1563</v>
      </c>
      <c r="U42" s="4" t="s">
        <v>1563</v>
      </c>
      <c r="V42" s="4" t="s">
        <v>1563</v>
      </c>
      <c r="W42" s="4" t="s">
        <v>1563</v>
      </c>
      <c r="X42" s="4" t="s">
        <v>1563</v>
      </c>
      <c r="Y42" s="4" t="s">
        <v>1563</v>
      </c>
      <c r="Z42" s="4" t="s">
        <v>1563</v>
      </c>
      <c r="AA42" s="4" t="s">
        <v>1563</v>
      </c>
      <c r="AB42" s="4" t="s">
        <v>1563</v>
      </c>
      <c r="AC42" s="4" t="s">
        <v>1563</v>
      </c>
      <c r="AD42" s="4" t="s">
        <v>1563</v>
      </c>
      <c r="AE42" s="4" t="s">
        <v>1563</v>
      </c>
      <c r="AF42" s="4" t="s">
        <v>1563</v>
      </c>
      <c r="AG42" s="4" t="s">
        <v>1563</v>
      </c>
      <c r="AH42" s="4" t="s">
        <v>1563</v>
      </c>
      <c r="AI42" s="4" t="s">
        <v>1563</v>
      </c>
    </row>
    <row r="43" spans="1:35" ht="16" x14ac:dyDescent="0.2">
      <c r="A43" s="21"/>
      <c r="B43" s="21"/>
      <c r="C43" s="16"/>
      <c r="T43" s="6">
        <f>(T38/T40)*100</f>
        <v>86.9</v>
      </c>
      <c r="U43" s="6">
        <f>(U38/U40)*100</f>
        <v>87.2767441860465</v>
      </c>
      <c r="V43" s="6">
        <f>(V38/V40)*100</f>
        <v>88.795652173913027</v>
      </c>
      <c r="W43" s="6">
        <f>(W38/W40)*100</f>
        <v>85.261616161616146</v>
      </c>
      <c r="X43" s="6">
        <f t="shared" ref="X43:AI43" si="13">(X38/X40)*100</f>
        <v>83.4157894736842</v>
      </c>
      <c r="Y43" s="6">
        <f t="shared" si="13"/>
        <v>80.234502923976592</v>
      </c>
      <c r="Z43" s="6">
        <f t="shared" si="13"/>
        <v>78.320657276995291</v>
      </c>
      <c r="AA43" s="6">
        <f t="shared" si="13"/>
        <v>76.596484374999989</v>
      </c>
      <c r="AB43" s="38">
        <f t="shared" si="13"/>
        <v>75.95662251655628</v>
      </c>
      <c r="AC43" s="6">
        <f t="shared" si="13"/>
        <v>73.923295454545453</v>
      </c>
      <c r="AD43" s="6">
        <f t="shared" si="13"/>
        <v>72.323631840796025</v>
      </c>
      <c r="AE43" s="6">
        <f t="shared" si="13"/>
        <v>70.943805309734515</v>
      </c>
      <c r="AF43" s="6">
        <f t="shared" si="13"/>
        <v>69.805566600397611</v>
      </c>
      <c r="AG43" s="6">
        <f t="shared" si="13"/>
        <v>68.884144144144145</v>
      </c>
      <c r="AH43" s="6">
        <f t="shared" si="13"/>
        <v>68.198519736842087</v>
      </c>
      <c r="AI43" s="6">
        <f t="shared" si="13"/>
        <v>67.331316187594553</v>
      </c>
    </row>
    <row r="44" spans="1:35" ht="16" x14ac:dyDescent="0.2">
      <c r="A44" s="21"/>
      <c r="B44" s="21"/>
      <c r="C44" s="16"/>
    </row>
    <row r="45" spans="1:35" ht="16" x14ac:dyDescent="0.2">
      <c r="A45" s="21"/>
      <c r="B45" s="21"/>
      <c r="C45" s="16"/>
    </row>
    <row r="46" spans="1:35" ht="16" x14ac:dyDescent="0.2">
      <c r="A46" s="21"/>
      <c r="B46" s="21"/>
      <c r="C46" s="16"/>
    </row>
    <row r="47" spans="1:35" ht="16" x14ac:dyDescent="0.2">
      <c r="A47" s="21"/>
      <c r="B47" s="21"/>
      <c r="C47" s="16"/>
    </row>
    <row r="48" spans="1:35" ht="16" x14ac:dyDescent="0.2">
      <c r="A48" s="21"/>
      <c r="B48" s="21"/>
      <c r="C48" s="16"/>
    </row>
    <row r="49" spans="1:3" ht="16" x14ac:dyDescent="0.2">
      <c r="A49" s="21"/>
      <c r="B49" s="21"/>
      <c r="C49" s="16"/>
    </row>
    <row r="50" spans="1:3" ht="16" x14ac:dyDescent="0.2">
      <c r="A50" s="21"/>
      <c r="B50" s="21"/>
      <c r="C50" s="16"/>
    </row>
    <row r="51" spans="1:3" ht="16" x14ac:dyDescent="0.2">
      <c r="A51" s="21"/>
      <c r="B51" s="21"/>
      <c r="C51" s="16"/>
    </row>
    <row r="52" spans="1:3" ht="16" x14ac:dyDescent="0.2">
      <c r="A52" s="21"/>
      <c r="B52" s="21"/>
      <c r="C52" s="16"/>
    </row>
    <row r="53" spans="1:3" ht="16" x14ac:dyDescent="0.2">
      <c r="A53" s="21"/>
      <c r="B53" s="21"/>
      <c r="C53" s="16"/>
    </row>
    <row r="54" spans="1:3" ht="16" x14ac:dyDescent="0.2">
      <c r="A54" s="16"/>
      <c r="B54" s="16"/>
      <c r="C54" s="16"/>
    </row>
    <row r="55" spans="1:3" ht="16" x14ac:dyDescent="0.2">
      <c r="A55" s="21"/>
      <c r="B55" s="21"/>
      <c r="C55" s="16"/>
    </row>
    <row r="56" spans="1:3" ht="16" x14ac:dyDescent="0.2">
      <c r="A56" s="21"/>
      <c r="B56" s="21"/>
      <c r="C56" s="16"/>
    </row>
    <row r="57" spans="1:3" ht="16" x14ac:dyDescent="0.2">
      <c r="A57" s="21"/>
      <c r="B57" s="21"/>
      <c r="C57" s="16"/>
    </row>
    <row r="58" spans="1:3" ht="16" x14ac:dyDescent="0.2">
      <c r="A58" s="21"/>
      <c r="B58" s="21"/>
      <c r="C58" s="16"/>
    </row>
    <row r="59" spans="1:3" ht="16" x14ac:dyDescent="0.2">
      <c r="A59" s="21"/>
      <c r="B59" s="21"/>
      <c r="C59" s="16"/>
    </row>
    <row r="60" spans="1:3" ht="16" x14ac:dyDescent="0.2">
      <c r="A60" s="21"/>
      <c r="B60" s="21"/>
      <c r="C60" s="16"/>
    </row>
    <row r="61" spans="1:3" ht="16" x14ac:dyDescent="0.2">
      <c r="A61" s="21"/>
      <c r="B61" s="21"/>
      <c r="C61" s="1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4"/>
  <sheetViews>
    <sheetView topLeftCell="G1" workbookViewId="0">
      <selection activeCell="L24" sqref="L24:S24"/>
    </sheetView>
  </sheetViews>
  <sheetFormatPr baseColWidth="10" defaultRowHeight="15" x14ac:dyDescent="0.2"/>
  <cols>
    <col min="2" max="2" width="30" customWidth="1"/>
  </cols>
  <sheetData>
    <row r="1" spans="1:19" ht="16" x14ac:dyDescent="0.2">
      <c r="A1" s="3" t="s">
        <v>15</v>
      </c>
      <c r="B1" s="24" t="s">
        <v>681</v>
      </c>
      <c r="C1" s="3">
        <v>2000</v>
      </c>
      <c r="D1" s="3">
        <v>2003</v>
      </c>
      <c r="E1" s="3">
        <v>2007</v>
      </c>
      <c r="F1" s="3">
        <v>2011</v>
      </c>
      <c r="G1" s="3">
        <v>2015</v>
      </c>
      <c r="H1" s="3">
        <v>2016</v>
      </c>
      <c r="I1" s="3">
        <v>2020</v>
      </c>
      <c r="J1" s="3">
        <v>2024</v>
      </c>
      <c r="L1" s="3">
        <v>2000</v>
      </c>
      <c r="M1" s="3">
        <v>2003</v>
      </c>
      <c r="N1" s="3">
        <v>2007</v>
      </c>
      <c r="O1" s="3">
        <v>2011</v>
      </c>
      <c r="P1" s="3">
        <v>2015</v>
      </c>
      <c r="Q1" s="3">
        <v>2016</v>
      </c>
      <c r="R1" s="3">
        <v>2020</v>
      </c>
      <c r="S1" s="3">
        <v>2024</v>
      </c>
    </row>
    <row r="2" spans="1:19" ht="16" x14ac:dyDescent="0.2">
      <c r="A2" s="8" t="s">
        <v>119</v>
      </c>
      <c r="B2" s="16" t="s">
        <v>1247</v>
      </c>
      <c r="C2" s="1">
        <v>40.799999999999997</v>
      </c>
      <c r="D2" s="1">
        <v>22.6</v>
      </c>
      <c r="E2" s="1">
        <v>30.8</v>
      </c>
      <c r="F2" s="1">
        <v>40.700000000000003</v>
      </c>
      <c r="G2" s="1">
        <v>33.799999999999997</v>
      </c>
      <c r="H2" s="1">
        <v>33.799999999999997</v>
      </c>
      <c r="I2" s="1">
        <v>24.8</v>
      </c>
      <c r="J2" s="1">
        <v>25.4</v>
      </c>
      <c r="L2" s="1">
        <v>40.799999999999997</v>
      </c>
      <c r="M2" s="1">
        <f>(D2*0.15)+D2</f>
        <v>25.990000000000002</v>
      </c>
      <c r="N2" s="1">
        <f>(E2*0.35)+E2</f>
        <v>41.58</v>
      </c>
      <c r="O2" s="1">
        <f>(F2*0.55)+F2</f>
        <v>63.085000000000008</v>
      </c>
      <c r="P2" s="1">
        <f>(G2*0.75)+G2</f>
        <v>59.149999999999991</v>
      </c>
      <c r="Q2" s="1">
        <f>(H2*0.8)+H2</f>
        <v>60.839999999999996</v>
      </c>
      <c r="R2" s="1">
        <f>(I2*1)+I2</f>
        <v>49.6</v>
      </c>
      <c r="S2" s="1">
        <f>(J2*1.2)+J2</f>
        <v>55.879999999999995</v>
      </c>
    </row>
    <row r="3" spans="1:19" ht="16" x14ac:dyDescent="0.2">
      <c r="A3" s="8" t="s">
        <v>120</v>
      </c>
      <c r="B3" s="16" t="s">
        <v>1248</v>
      </c>
      <c r="C3" s="1">
        <v>24.4</v>
      </c>
      <c r="D3" s="1">
        <v>33.9</v>
      </c>
      <c r="E3" s="1">
        <v>36</v>
      </c>
      <c r="F3" s="1">
        <v>34.6</v>
      </c>
      <c r="G3" s="1">
        <v>34</v>
      </c>
      <c r="H3" s="1">
        <v>36.299999999999997</v>
      </c>
      <c r="I3" s="1">
        <v>37.299999999999997</v>
      </c>
      <c r="J3" s="1">
        <v>34.4</v>
      </c>
      <c r="L3" s="1">
        <v>24.4</v>
      </c>
      <c r="M3" s="1">
        <f t="shared" ref="M3:M13" si="0">(D3*0.15)+D3</f>
        <v>38.984999999999999</v>
      </c>
      <c r="N3" s="1">
        <f t="shared" ref="N3:N13" si="1">(E3*0.35)+E3</f>
        <v>48.6</v>
      </c>
      <c r="O3" s="1">
        <f t="shared" ref="O3:O12" si="2">(F3*0.55)+F3</f>
        <v>53.63</v>
      </c>
      <c r="P3" s="1">
        <f>(G3*0.75)+G3</f>
        <v>59.5</v>
      </c>
      <c r="Q3" s="1">
        <f>(H3*0.8)+H3</f>
        <v>65.34</v>
      </c>
      <c r="R3" s="1">
        <f>(I3*1)+I3</f>
        <v>74.599999999999994</v>
      </c>
      <c r="S3" s="1">
        <f t="shared" ref="S3:S10" si="3">(J3*1.2)+J3</f>
        <v>75.679999999999993</v>
      </c>
    </row>
    <row r="4" spans="1:19" x14ac:dyDescent="0.2">
      <c r="A4" s="8" t="s">
        <v>121</v>
      </c>
      <c r="B4" s="1" t="s">
        <v>1249</v>
      </c>
      <c r="C4" s="1">
        <v>15.6</v>
      </c>
      <c r="D4" s="1">
        <v>7.2</v>
      </c>
      <c r="E4" s="1">
        <v>6.4</v>
      </c>
      <c r="F4" s="1">
        <v>3</v>
      </c>
      <c r="G4" s="1"/>
      <c r="H4" s="1"/>
      <c r="I4" s="1"/>
      <c r="J4" s="1"/>
      <c r="L4" s="1">
        <v>15.6</v>
      </c>
      <c r="M4" s="1">
        <f t="shared" si="0"/>
        <v>8.2800000000000011</v>
      </c>
      <c r="N4" s="1">
        <f t="shared" si="1"/>
        <v>8.64</v>
      </c>
      <c r="O4" s="1">
        <f t="shared" si="2"/>
        <v>4.6500000000000004</v>
      </c>
      <c r="P4" s="1"/>
      <c r="S4" s="1"/>
    </row>
    <row r="5" spans="1:19" x14ac:dyDescent="0.2">
      <c r="A5" s="8" t="s">
        <v>1420</v>
      </c>
      <c r="B5" s="1" t="s">
        <v>1422</v>
      </c>
      <c r="C5" s="1"/>
      <c r="D5" s="1"/>
      <c r="E5" s="1"/>
      <c r="F5" s="1"/>
      <c r="G5" s="1"/>
      <c r="H5" s="1"/>
      <c r="I5" s="1">
        <v>10.9</v>
      </c>
      <c r="J5" s="1">
        <v>9.6</v>
      </c>
      <c r="L5" s="1"/>
      <c r="M5" s="1"/>
      <c r="N5" s="1"/>
      <c r="O5" s="1"/>
      <c r="P5" s="1"/>
      <c r="R5" s="1">
        <v>10.9</v>
      </c>
      <c r="S5" s="1">
        <f>(J5*0.2)+J5</f>
        <v>11.52</v>
      </c>
    </row>
    <row r="6" spans="1:19" x14ac:dyDescent="0.2">
      <c r="A6" s="8" t="s">
        <v>1421</v>
      </c>
      <c r="B6" s="1" t="s">
        <v>1423</v>
      </c>
      <c r="C6" s="1"/>
      <c r="D6" s="1"/>
      <c r="E6" s="1"/>
      <c r="F6" s="1"/>
      <c r="G6" s="1"/>
      <c r="H6" s="1"/>
      <c r="I6" s="1">
        <v>7</v>
      </c>
      <c r="J6" s="1">
        <v>9.1</v>
      </c>
      <c r="L6" s="1"/>
      <c r="M6" s="1"/>
      <c r="N6" s="1"/>
      <c r="O6" s="1"/>
      <c r="P6" s="1"/>
      <c r="R6" s="1">
        <v>7</v>
      </c>
      <c r="S6" s="1">
        <f>(J6*0.2)+J6</f>
        <v>10.92</v>
      </c>
    </row>
    <row r="7" spans="1:19" x14ac:dyDescent="0.2">
      <c r="A7" s="8" t="s">
        <v>1535</v>
      </c>
      <c r="B7" s="1" t="s">
        <v>1534</v>
      </c>
      <c r="C7" s="1"/>
      <c r="D7" s="1"/>
      <c r="E7" s="1"/>
      <c r="F7" s="1"/>
      <c r="G7" s="1"/>
      <c r="H7" s="1"/>
      <c r="I7" s="1">
        <v>4</v>
      </c>
      <c r="J7" s="1">
        <v>2.2999999999999998</v>
      </c>
      <c r="L7" s="1"/>
      <c r="M7" s="1"/>
      <c r="N7" s="1"/>
      <c r="O7" s="1"/>
      <c r="P7" s="1"/>
      <c r="R7" s="1">
        <v>4</v>
      </c>
      <c r="S7" s="1">
        <f>(J7*0.2)+J7</f>
        <v>2.76</v>
      </c>
    </row>
    <row r="8" spans="1:19" ht="16" x14ac:dyDescent="0.2">
      <c r="A8" s="8" t="s">
        <v>201</v>
      </c>
      <c r="B8" s="16" t="s">
        <v>1250</v>
      </c>
      <c r="C8" s="1"/>
      <c r="D8" s="1"/>
      <c r="E8" s="1"/>
      <c r="F8" s="1"/>
      <c r="G8" s="1">
        <v>3.3</v>
      </c>
      <c r="H8" s="1">
        <v>4</v>
      </c>
      <c r="I8" s="1">
        <v>0.6</v>
      </c>
      <c r="J8" s="1"/>
      <c r="L8" s="1"/>
      <c r="M8" s="1"/>
      <c r="N8" s="1"/>
      <c r="O8" s="1"/>
      <c r="P8" s="1">
        <v>3.3</v>
      </c>
      <c r="Q8" s="1">
        <f>(H8*0.05)+H8</f>
        <v>4.2</v>
      </c>
      <c r="R8" s="1">
        <f>(I8*0.25)+I8</f>
        <v>0.75</v>
      </c>
      <c r="S8" s="1"/>
    </row>
    <row r="9" spans="1:19" ht="16" x14ac:dyDescent="0.2">
      <c r="A9" s="8" t="s">
        <v>465</v>
      </c>
      <c r="B9" s="16" t="s">
        <v>1251</v>
      </c>
      <c r="C9" s="1"/>
      <c r="D9" s="1"/>
      <c r="E9" s="1"/>
      <c r="F9" s="1">
        <v>0.6</v>
      </c>
      <c r="G9" s="1">
        <v>4.2</v>
      </c>
      <c r="H9" s="1">
        <v>6.2</v>
      </c>
      <c r="I9" s="1">
        <v>2.2999999999999998</v>
      </c>
      <c r="J9" s="1"/>
      <c r="L9" s="1"/>
      <c r="M9" s="1"/>
      <c r="N9" s="1"/>
      <c r="O9" s="1">
        <v>0.6</v>
      </c>
      <c r="P9" s="1">
        <f>(G9*0.2)+G9</f>
        <v>5.04</v>
      </c>
      <c r="Q9" s="1">
        <f>(H9*0.25)+H9</f>
        <v>7.75</v>
      </c>
      <c r="R9" s="1">
        <f>(I9*0.45)+I9</f>
        <v>3.335</v>
      </c>
      <c r="S9" s="1"/>
    </row>
    <row r="10" spans="1:19" x14ac:dyDescent="0.2">
      <c r="A10" s="8" t="s">
        <v>124</v>
      </c>
      <c r="B10" s="1" t="s">
        <v>1252</v>
      </c>
      <c r="C10" s="1">
        <v>5.3</v>
      </c>
      <c r="D10" s="1">
        <v>6.4</v>
      </c>
      <c r="E10" s="1">
        <v>3.4</v>
      </c>
      <c r="F10" s="1">
        <v>2.8</v>
      </c>
      <c r="G10" s="1">
        <v>0.6</v>
      </c>
      <c r="H10" s="1">
        <v>0.6</v>
      </c>
      <c r="I10" s="1">
        <v>0.4</v>
      </c>
      <c r="J10" s="1">
        <v>0.9</v>
      </c>
      <c r="L10" s="1">
        <v>5.3</v>
      </c>
      <c r="M10" s="1">
        <f t="shared" si="0"/>
        <v>7.36</v>
      </c>
      <c r="N10" s="1">
        <f t="shared" si="1"/>
        <v>4.59</v>
      </c>
      <c r="O10" s="1">
        <f t="shared" si="2"/>
        <v>4.34</v>
      </c>
      <c r="P10" s="1">
        <f>(G10*0.75)+G10</f>
        <v>1.0499999999999998</v>
      </c>
      <c r="Q10" s="1">
        <f>(H10*0.8)+H10</f>
        <v>1.08</v>
      </c>
      <c r="R10" s="1">
        <f>(I10*1)+I10</f>
        <v>0.8</v>
      </c>
      <c r="S10" s="1">
        <f t="shared" si="3"/>
        <v>1.98</v>
      </c>
    </row>
    <row r="11" spans="1:19" x14ac:dyDescent="0.2">
      <c r="A11" s="8" t="s">
        <v>125</v>
      </c>
      <c r="B11" s="1" t="s">
        <v>1253</v>
      </c>
      <c r="C11" s="1">
        <v>1.9</v>
      </c>
      <c r="D11" s="1">
        <v>4</v>
      </c>
      <c r="E11" s="1">
        <v>4</v>
      </c>
      <c r="F11" s="1"/>
      <c r="G11" s="1"/>
      <c r="H11" s="1"/>
      <c r="I11" s="1"/>
      <c r="J11" s="1"/>
      <c r="L11" s="1">
        <v>1.9</v>
      </c>
      <c r="M11" s="1">
        <f t="shared" si="0"/>
        <v>4.5999999999999996</v>
      </c>
      <c r="N11" s="1">
        <f t="shared" si="1"/>
        <v>5.4</v>
      </c>
      <c r="O11" s="1"/>
      <c r="P11" s="1"/>
      <c r="S11" s="1"/>
    </row>
    <row r="12" spans="1:19" x14ac:dyDescent="0.2">
      <c r="A12" s="8" t="s">
        <v>122</v>
      </c>
      <c r="B12" s="1" t="s">
        <v>1254</v>
      </c>
      <c r="C12" s="1"/>
      <c r="D12" s="1">
        <v>4.0999999999999996</v>
      </c>
      <c r="E12" s="1"/>
      <c r="F12" s="1">
        <v>3</v>
      </c>
      <c r="G12" s="1"/>
      <c r="H12" s="1"/>
      <c r="I12" s="1"/>
      <c r="J12" s="1"/>
      <c r="L12" s="1"/>
      <c r="M12" s="1">
        <f t="shared" si="0"/>
        <v>4.7149999999999999</v>
      </c>
      <c r="N12" s="1"/>
      <c r="O12" s="1">
        <f t="shared" si="2"/>
        <v>4.6500000000000004</v>
      </c>
      <c r="P12" s="1"/>
      <c r="S12" s="1"/>
    </row>
    <row r="13" spans="1:19" x14ac:dyDescent="0.2">
      <c r="A13" s="8" t="s">
        <v>123</v>
      </c>
      <c r="B13" s="1" t="s">
        <v>1255</v>
      </c>
      <c r="C13" s="1"/>
      <c r="D13" s="1">
        <v>8</v>
      </c>
      <c r="E13" s="1">
        <v>6.7</v>
      </c>
      <c r="I13" s="1"/>
      <c r="J13" s="1"/>
      <c r="L13" s="1"/>
      <c r="M13" s="1">
        <f t="shared" si="0"/>
        <v>9.1999999999999993</v>
      </c>
      <c r="N13" s="1">
        <f t="shared" si="1"/>
        <v>9.0449999999999999</v>
      </c>
      <c r="O13" s="1"/>
      <c r="P13" s="1"/>
      <c r="S13" s="1"/>
    </row>
    <row r="14" spans="1:19" x14ac:dyDescent="0.2">
      <c r="A14" s="8" t="s">
        <v>467</v>
      </c>
      <c r="B14" s="1" t="s">
        <v>1256</v>
      </c>
      <c r="C14" s="1"/>
      <c r="D14" s="1"/>
      <c r="E14" s="1"/>
      <c r="F14" s="1">
        <v>5.2</v>
      </c>
      <c r="G14" s="1"/>
      <c r="H14" s="1"/>
      <c r="I14" s="1"/>
      <c r="J14" s="1"/>
      <c r="L14" s="1"/>
      <c r="M14" s="1"/>
      <c r="N14" s="1"/>
      <c r="O14" s="1">
        <v>5.2</v>
      </c>
      <c r="P14" s="1"/>
      <c r="R14" s="4"/>
      <c r="S14" s="1"/>
    </row>
    <row r="15" spans="1:19" x14ac:dyDescent="0.2">
      <c r="A15" s="8" t="s">
        <v>466</v>
      </c>
      <c r="B15" s="1" t="s">
        <v>1257</v>
      </c>
      <c r="C15" s="1"/>
      <c r="D15" s="1"/>
      <c r="E15" s="1"/>
      <c r="F15" s="1"/>
      <c r="G15" s="1">
        <v>13.5</v>
      </c>
      <c r="H15" s="1">
        <v>9.9</v>
      </c>
      <c r="I15" s="1">
        <v>7.4</v>
      </c>
      <c r="J15" s="1">
        <v>8</v>
      </c>
      <c r="L15" s="1"/>
      <c r="M15" s="1"/>
      <c r="N15" s="1"/>
      <c r="O15" s="1"/>
      <c r="P15" s="1">
        <v>13.5</v>
      </c>
      <c r="Q15" s="1">
        <f>(H15*0.05)+H15</f>
        <v>10.395</v>
      </c>
      <c r="R15" s="1">
        <f>(I15*0.25)+I15</f>
        <v>9.25</v>
      </c>
      <c r="S15" s="1">
        <f>(J15*0.45)+J15</f>
        <v>11.6</v>
      </c>
    </row>
    <row r="16" spans="1:19" x14ac:dyDescent="0.2">
      <c r="K16" s="3" t="s">
        <v>14</v>
      </c>
      <c r="L16" s="1">
        <f t="shared" ref="L16:S16" si="4">SUM(L2:L15)</f>
        <v>87.999999999999986</v>
      </c>
      <c r="M16" s="1">
        <f t="shared" si="4"/>
        <v>99.13</v>
      </c>
      <c r="N16" s="1">
        <f t="shared" si="4"/>
        <v>117.85500000000002</v>
      </c>
      <c r="O16" s="1">
        <f t="shared" si="4"/>
        <v>136.155</v>
      </c>
      <c r="P16" s="1">
        <f t="shared" si="4"/>
        <v>141.54</v>
      </c>
      <c r="Q16" s="1">
        <f t="shared" si="4"/>
        <v>149.60500000000002</v>
      </c>
      <c r="R16" s="1">
        <f t="shared" si="4"/>
        <v>160.23500000000001</v>
      </c>
      <c r="S16" s="1">
        <f t="shared" si="4"/>
        <v>170.33999999999997</v>
      </c>
    </row>
    <row r="18" spans="1:19" x14ac:dyDescent="0.2">
      <c r="L18" s="1">
        <v>100</v>
      </c>
      <c r="M18" s="1">
        <v>115</v>
      </c>
      <c r="N18" s="1">
        <v>135</v>
      </c>
      <c r="O18" s="1">
        <v>155</v>
      </c>
      <c r="P18" s="1">
        <v>175</v>
      </c>
      <c r="Q18" s="1">
        <v>180</v>
      </c>
      <c r="R18" s="1">
        <v>200</v>
      </c>
      <c r="S18" s="1">
        <v>220</v>
      </c>
    </row>
    <row r="20" spans="1:19" x14ac:dyDescent="0.2">
      <c r="L20" s="1">
        <f>L16</f>
        <v>87.999999999999986</v>
      </c>
      <c r="M20" s="1">
        <f t="shared" ref="M20:S20" si="5">SUM(L20+M16)</f>
        <v>187.13</v>
      </c>
      <c r="N20" s="1">
        <f t="shared" si="5"/>
        <v>304.98500000000001</v>
      </c>
      <c r="O20" s="1">
        <f t="shared" si="5"/>
        <v>441.14</v>
      </c>
      <c r="P20" s="1">
        <f t="shared" si="5"/>
        <v>582.67999999999995</v>
      </c>
      <c r="Q20" s="1">
        <f t="shared" si="5"/>
        <v>732.28499999999997</v>
      </c>
      <c r="R20" s="1">
        <f t="shared" si="5"/>
        <v>892.52</v>
      </c>
      <c r="S20" s="1">
        <f t="shared" si="5"/>
        <v>1062.8599999999999</v>
      </c>
    </row>
    <row r="21" spans="1:19" x14ac:dyDescent="0.2">
      <c r="L21" s="3"/>
      <c r="M21" s="3"/>
      <c r="N21" s="3"/>
      <c r="O21" s="3"/>
    </row>
    <row r="22" spans="1:19" x14ac:dyDescent="0.2">
      <c r="L22" s="1">
        <v>100</v>
      </c>
      <c r="M22" s="1">
        <f t="shared" ref="M22:S22" si="6">SUM(L22+M18)</f>
        <v>215</v>
      </c>
      <c r="N22" s="1">
        <f t="shared" si="6"/>
        <v>350</v>
      </c>
      <c r="O22" s="1">
        <f t="shared" si="6"/>
        <v>505</v>
      </c>
      <c r="P22" s="1">
        <f t="shared" si="6"/>
        <v>680</v>
      </c>
      <c r="Q22" s="1">
        <f t="shared" si="6"/>
        <v>860</v>
      </c>
      <c r="R22" s="1">
        <f t="shared" si="6"/>
        <v>1060</v>
      </c>
      <c r="S22" s="1">
        <f t="shared" si="6"/>
        <v>1280</v>
      </c>
    </row>
    <row r="24" spans="1:19" ht="16" x14ac:dyDescent="0.2">
      <c r="A24" s="21"/>
      <c r="B24" s="21"/>
      <c r="C24" s="16"/>
      <c r="L24" s="4" t="s">
        <v>1563</v>
      </c>
      <c r="M24" s="4" t="s">
        <v>1563</v>
      </c>
      <c r="N24" s="4" t="s">
        <v>1563</v>
      </c>
      <c r="O24" s="4" t="s">
        <v>1563</v>
      </c>
      <c r="P24" s="4" t="s">
        <v>1563</v>
      </c>
      <c r="Q24" s="4" t="s">
        <v>1563</v>
      </c>
      <c r="R24" s="4" t="s">
        <v>1563</v>
      </c>
      <c r="S24" s="4" t="s">
        <v>1563</v>
      </c>
    </row>
    <row r="25" spans="1:19" ht="16" x14ac:dyDescent="0.2">
      <c r="A25" s="21"/>
      <c r="B25" s="21"/>
      <c r="C25" s="16"/>
      <c r="L25" s="6">
        <f t="shared" ref="L25:S25" si="7">(L20/L22)*100</f>
        <v>87.999999999999986</v>
      </c>
      <c r="M25" s="6">
        <f t="shared" si="7"/>
        <v>87.037209302325579</v>
      </c>
      <c r="N25" s="6">
        <f t="shared" si="7"/>
        <v>87.138571428571439</v>
      </c>
      <c r="O25" s="6">
        <f t="shared" si="7"/>
        <v>87.354455445544559</v>
      </c>
      <c r="P25" s="6">
        <f t="shared" si="7"/>
        <v>85.688235294117646</v>
      </c>
      <c r="Q25" s="6">
        <f t="shared" si="7"/>
        <v>85.14941860465116</v>
      </c>
      <c r="R25" s="6">
        <f t="shared" si="7"/>
        <v>84.2</v>
      </c>
      <c r="S25" s="6">
        <f t="shared" si="7"/>
        <v>83.035937499999989</v>
      </c>
    </row>
    <row r="26" spans="1:19" ht="16" x14ac:dyDescent="0.2">
      <c r="A26" s="21"/>
      <c r="B26" s="21"/>
      <c r="C26" s="16"/>
    </row>
    <row r="27" spans="1:19" ht="16" x14ac:dyDescent="0.2">
      <c r="A27" s="21"/>
      <c r="B27" s="21"/>
      <c r="C27" s="16"/>
    </row>
    <row r="28" spans="1:19" ht="16" x14ac:dyDescent="0.2">
      <c r="A28" s="15"/>
      <c r="B28" s="15"/>
      <c r="C28" s="1"/>
    </row>
    <row r="29" spans="1:19" ht="16" x14ac:dyDescent="0.2">
      <c r="A29" s="15"/>
      <c r="B29" s="15"/>
      <c r="C29" s="1"/>
    </row>
    <row r="30" spans="1:19" ht="16" x14ac:dyDescent="0.2">
      <c r="A30" s="15"/>
      <c r="B30" s="15"/>
      <c r="C30" s="1"/>
    </row>
    <row r="31" spans="1:19" ht="16" x14ac:dyDescent="0.2">
      <c r="A31" s="15"/>
      <c r="B31" s="15"/>
      <c r="C31" s="1"/>
    </row>
    <row r="32" spans="1:19" ht="16" x14ac:dyDescent="0.2">
      <c r="A32" s="15"/>
      <c r="B32" s="15"/>
      <c r="C32" s="1"/>
    </row>
    <row r="33" spans="1:3" ht="16" x14ac:dyDescent="0.2">
      <c r="A33" s="15"/>
      <c r="B33" s="15"/>
      <c r="C33" s="1"/>
    </row>
    <row r="34" spans="1:3" ht="16" x14ac:dyDescent="0.2">
      <c r="A34" s="15"/>
      <c r="B34" s="15"/>
      <c r="C34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8"/>
  <sheetViews>
    <sheetView topLeftCell="H1" workbookViewId="0">
      <selection activeCell="N23" sqref="N23:W23"/>
    </sheetView>
  </sheetViews>
  <sheetFormatPr baseColWidth="10" defaultRowHeight="15" x14ac:dyDescent="0.2"/>
  <cols>
    <col min="2" max="2" width="37.6640625" customWidth="1"/>
  </cols>
  <sheetData>
    <row r="1" spans="1:23" ht="16" x14ac:dyDescent="0.2">
      <c r="A1" s="3" t="s">
        <v>15</v>
      </c>
      <c r="B1" s="24" t="s">
        <v>681</v>
      </c>
      <c r="C1" s="3">
        <v>1976</v>
      </c>
      <c r="D1" s="3">
        <v>1981</v>
      </c>
      <c r="E1" s="3">
        <v>1985</v>
      </c>
      <c r="F1" s="3">
        <v>1991</v>
      </c>
      <c r="G1" s="3">
        <v>1996</v>
      </c>
      <c r="H1" s="3">
        <v>2001</v>
      </c>
      <c r="I1" s="3">
        <v>2006</v>
      </c>
      <c r="J1" s="3">
        <v>2011</v>
      </c>
      <c r="K1" s="3">
        <v>2016</v>
      </c>
      <c r="L1" s="3">
        <v>2021</v>
      </c>
      <c r="N1" s="3">
        <v>1976</v>
      </c>
      <c r="O1" s="3">
        <v>1981</v>
      </c>
      <c r="P1" s="3">
        <v>1985</v>
      </c>
      <c r="Q1" s="3">
        <v>1991</v>
      </c>
      <c r="R1" s="3">
        <v>1996</v>
      </c>
      <c r="S1" s="3">
        <v>2001</v>
      </c>
      <c r="T1" s="3">
        <v>2006</v>
      </c>
      <c r="U1" s="3">
        <v>2011</v>
      </c>
      <c r="V1" s="3">
        <v>2016</v>
      </c>
      <c r="W1" s="3">
        <v>2021</v>
      </c>
    </row>
    <row r="2" spans="1:23" ht="16" x14ac:dyDescent="0.2">
      <c r="A2" s="8" t="s">
        <v>39</v>
      </c>
      <c r="B2" s="16" t="s">
        <v>1241</v>
      </c>
      <c r="C2" s="1">
        <v>71.2</v>
      </c>
      <c r="D2" s="1">
        <v>32.799999999999997</v>
      </c>
      <c r="E2" s="1">
        <v>27.4</v>
      </c>
      <c r="F2" s="1">
        <v>30.6</v>
      </c>
      <c r="G2" s="1">
        <v>33</v>
      </c>
      <c r="H2" s="1">
        <v>34.700000000000003</v>
      </c>
      <c r="I2" s="1">
        <v>31.1</v>
      </c>
      <c r="J2" s="1">
        <v>32.700000000000003</v>
      </c>
      <c r="K2" s="1">
        <v>25.7</v>
      </c>
      <c r="L2" s="1">
        <v>22.3</v>
      </c>
      <c r="N2" s="1">
        <v>71.2</v>
      </c>
      <c r="O2" s="1">
        <f>(D2*0.25)+D2</f>
        <v>41</v>
      </c>
      <c r="P2" s="1">
        <f>(E2*0.45)+E2</f>
        <v>39.729999999999997</v>
      </c>
      <c r="Q2" s="1">
        <f>(F2*0.7)+F2</f>
        <v>52.019999999999996</v>
      </c>
      <c r="R2" s="1">
        <f>(G2*0.95)+G2</f>
        <v>64.349999999999994</v>
      </c>
      <c r="S2" s="1">
        <f>(H2*1.2)+H2</f>
        <v>76.34</v>
      </c>
      <c r="T2" s="1">
        <f>(I2*1.45)+I2</f>
        <v>76.194999999999993</v>
      </c>
      <c r="U2" s="1">
        <f>(J2*1.7)+J2</f>
        <v>88.29</v>
      </c>
      <c r="V2" s="1">
        <f>(K2*1.95)+K2</f>
        <v>75.814999999999998</v>
      </c>
      <c r="W2" s="1">
        <f>(L2*2.2)+L2</f>
        <v>71.36</v>
      </c>
    </row>
    <row r="3" spans="1:23" ht="16" x14ac:dyDescent="0.2">
      <c r="A3" s="8" t="s">
        <v>40</v>
      </c>
      <c r="B3" s="16" t="s">
        <v>1242</v>
      </c>
      <c r="C3" s="1">
        <v>27.6</v>
      </c>
      <c r="D3" s="1">
        <v>31.9</v>
      </c>
      <c r="E3" s="1">
        <v>33.6</v>
      </c>
      <c r="F3" s="1">
        <v>35.799999999999997</v>
      </c>
      <c r="G3" s="1">
        <v>34.5</v>
      </c>
      <c r="H3" s="1">
        <v>34</v>
      </c>
      <c r="I3" s="1">
        <v>30.3</v>
      </c>
      <c r="J3" s="1">
        <v>34.299999999999997</v>
      </c>
      <c r="K3" s="1">
        <v>30.7</v>
      </c>
      <c r="L3" s="1">
        <v>27.8</v>
      </c>
      <c r="N3" s="1">
        <v>27.6</v>
      </c>
      <c r="O3" s="1">
        <f t="shared" ref="O3:O5" si="0">(D3*0.25)+D3</f>
        <v>39.875</v>
      </c>
      <c r="P3" s="1">
        <f t="shared" ref="P3:P5" si="1">(E3*0.45)+E3</f>
        <v>48.72</v>
      </c>
      <c r="Q3" s="1">
        <f t="shared" ref="Q3:Q5" si="2">(F3*0.7)+F3</f>
        <v>60.859999999999992</v>
      </c>
      <c r="R3" s="1">
        <f t="shared" ref="R3:R5" si="3">(G3*0.95)+G3</f>
        <v>67.275000000000006</v>
      </c>
      <c r="S3" s="1">
        <f t="shared" ref="S3:S5" si="4">(H3*1.2)+H3</f>
        <v>74.8</v>
      </c>
      <c r="T3" s="1">
        <f t="shared" ref="T3:T5" si="5">(I3*1.45)+I3</f>
        <v>74.234999999999999</v>
      </c>
      <c r="U3" s="1">
        <f t="shared" ref="U3:U5" si="6">(J3*1.7)+J3</f>
        <v>92.609999999999985</v>
      </c>
      <c r="V3" s="1">
        <f>(K3*1.95)+K3</f>
        <v>90.564999999999998</v>
      </c>
      <c r="W3" s="1">
        <f>(L3*2.2)+L3</f>
        <v>88.960000000000008</v>
      </c>
    </row>
    <row r="4" spans="1:23" ht="16" x14ac:dyDescent="0.2">
      <c r="A4" s="8" t="s">
        <v>41</v>
      </c>
      <c r="B4" s="16" t="s">
        <v>744</v>
      </c>
      <c r="D4" s="1">
        <v>19.5</v>
      </c>
      <c r="E4" s="1">
        <v>27.6</v>
      </c>
      <c r="F4" s="1">
        <v>19.600000000000001</v>
      </c>
      <c r="G4" s="1">
        <v>16.399999999999999</v>
      </c>
      <c r="H4" s="1">
        <v>14.8</v>
      </c>
      <c r="I4" s="1">
        <v>17.899999999999999</v>
      </c>
      <c r="J4" s="1">
        <v>15.8</v>
      </c>
      <c r="K4" s="1">
        <v>14.5</v>
      </c>
      <c r="L4" s="1">
        <v>11.3</v>
      </c>
      <c r="N4" s="1"/>
      <c r="O4" s="1">
        <f t="shared" si="0"/>
        <v>24.375</v>
      </c>
      <c r="P4" s="1">
        <f t="shared" si="1"/>
        <v>40.020000000000003</v>
      </c>
      <c r="Q4" s="1">
        <f t="shared" si="2"/>
        <v>33.32</v>
      </c>
      <c r="R4" s="1">
        <f t="shared" si="3"/>
        <v>31.979999999999997</v>
      </c>
      <c r="S4" s="1">
        <f t="shared" si="4"/>
        <v>32.56</v>
      </c>
      <c r="T4" s="1">
        <f t="shared" si="5"/>
        <v>43.854999999999997</v>
      </c>
      <c r="U4" s="1">
        <f t="shared" si="6"/>
        <v>42.66</v>
      </c>
      <c r="V4" s="1">
        <f t="shared" ref="V4:V5" si="7">(K4*1.95)+K4</f>
        <v>42.774999999999999</v>
      </c>
      <c r="W4" s="1">
        <f>(L4*2.2)+L4</f>
        <v>36.160000000000004</v>
      </c>
    </row>
    <row r="5" spans="1:23" ht="16" x14ac:dyDescent="0.2">
      <c r="A5" s="8" t="s">
        <v>42</v>
      </c>
      <c r="B5" s="16" t="s">
        <v>1243</v>
      </c>
      <c r="D5" s="1">
        <v>8.1999999999999993</v>
      </c>
      <c r="E5" s="1">
        <v>11.1</v>
      </c>
      <c r="F5" s="1">
        <v>10.9</v>
      </c>
      <c r="G5" s="1">
        <v>8.1</v>
      </c>
      <c r="H5" s="1">
        <v>6.5</v>
      </c>
      <c r="I5" s="1">
        <v>8.9</v>
      </c>
      <c r="J5" s="1">
        <v>8.9</v>
      </c>
      <c r="K5" s="1">
        <v>6.2</v>
      </c>
      <c r="L5" s="1">
        <v>6.7</v>
      </c>
      <c r="N5" s="1"/>
      <c r="O5" s="1">
        <f t="shared" si="0"/>
        <v>10.25</v>
      </c>
      <c r="P5" s="1">
        <f t="shared" si="1"/>
        <v>16.094999999999999</v>
      </c>
      <c r="Q5" s="1">
        <f t="shared" si="2"/>
        <v>18.53</v>
      </c>
      <c r="R5" s="1">
        <f t="shared" si="3"/>
        <v>15.794999999999998</v>
      </c>
      <c r="S5" s="1">
        <f t="shared" si="4"/>
        <v>14.3</v>
      </c>
      <c r="T5" s="1">
        <f t="shared" si="5"/>
        <v>21.805</v>
      </c>
      <c r="U5" s="1">
        <f t="shared" si="6"/>
        <v>24.03</v>
      </c>
      <c r="V5" s="1">
        <f t="shared" si="7"/>
        <v>18.29</v>
      </c>
      <c r="W5" s="1">
        <f>(L5*2.2)+L5</f>
        <v>21.44</v>
      </c>
    </row>
    <row r="6" spans="1:23" ht="16" x14ac:dyDescent="0.2">
      <c r="A6" s="8" t="s">
        <v>43</v>
      </c>
      <c r="B6" s="16" t="s">
        <v>1244</v>
      </c>
      <c r="G6" s="1">
        <v>3.7</v>
      </c>
      <c r="H6" s="1">
        <v>2.6</v>
      </c>
      <c r="I6" s="1">
        <v>1.6</v>
      </c>
      <c r="N6" s="1"/>
      <c r="O6" s="1"/>
      <c r="P6" s="1"/>
      <c r="Q6" s="1"/>
      <c r="R6" s="1">
        <v>3.7</v>
      </c>
      <c r="S6" s="1">
        <f>(H6*0.25)+H6</f>
        <v>3.25</v>
      </c>
      <c r="T6" s="1">
        <f>(I6*0.5)+I6</f>
        <v>2.4000000000000004</v>
      </c>
      <c r="U6" s="1"/>
    </row>
    <row r="7" spans="1:23" ht="16" x14ac:dyDescent="0.2">
      <c r="A7" s="8" t="s">
        <v>1239</v>
      </c>
      <c r="B7" s="16" t="s">
        <v>1245</v>
      </c>
      <c r="G7" s="1">
        <v>1.7</v>
      </c>
      <c r="H7" s="1">
        <v>3</v>
      </c>
      <c r="I7" s="1"/>
      <c r="N7" s="1"/>
      <c r="O7" s="1"/>
      <c r="P7" s="1"/>
      <c r="Q7" s="1"/>
      <c r="R7" s="1">
        <v>1.7</v>
      </c>
      <c r="S7" s="1">
        <f>(H7*0.25)+H7</f>
        <v>3.75</v>
      </c>
      <c r="T7" s="1"/>
      <c r="U7" s="1"/>
    </row>
    <row r="8" spans="1:23" ht="16" x14ac:dyDescent="0.2">
      <c r="A8" s="15" t="s">
        <v>1240</v>
      </c>
      <c r="B8" s="16" t="s">
        <v>1246</v>
      </c>
      <c r="I8" s="1">
        <v>5.8</v>
      </c>
      <c r="J8" s="1">
        <v>3.9</v>
      </c>
      <c r="K8" s="1"/>
      <c r="N8" s="1"/>
      <c r="O8" s="1"/>
      <c r="P8" s="1"/>
      <c r="Q8" s="1"/>
      <c r="R8" s="1"/>
      <c r="S8" s="1"/>
      <c r="T8" s="1">
        <v>5.8</v>
      </c>
      <c r="U8" s="1">
        <f>(J8*0.25)+J8</f>
        <v>4.875</v>
      </c>
      <c r="W8" s="4"/>
    </row>
    <row r="9" spans="1:23" ht="16" x14ac:dyDescent="0.2">
      <c r="A9" s="15" t="s">
        <v>104</v>
      </c>
      <c r="B9" s="16" t="s">
        <v>1453</v>
      </c>
      <c r="I9" s="1"/>
      <c r="J9" s="1"/>
      <c r="K9" s="1"/>
      <c r="L9" s="1">
        <v>6.1</v>
      </c>
      <c r="N9" s="1"/>
      <c r="O9" s="1"/>
      <c r="P9" s="1"/>
      <c r="Q9" s="1"/>
      <c r="R9" s="1"/>
      <c r="S9" s="1"/>
      <c r="T9" s="1"/>
      <c r="U9" s="1"/>
      <c r="W9" s="1">
        <v>6.1</v>
      </c>
    </row>
    <row r="10" spans="1:23" ht="16" x14ac:dyDescent="0.2">
      <c r="A10" s="15" t="s">
        <v>148</v>
      </c>
      <c r="B10" s="16" t="s">
        <v>1452</v>
      </c>
      <c r="I10" s="1"/>
      <c r="J10" s="1"/>
      <c r="K10" s="1"/>
      <c r="L10" s="1">
        <v>3.3</v>
      </c>
      <c r="N10" s="1"/>
      <c r="O10" s="1"/>
      <c r="P10" s="1"/>
      <c r="Q10" s="1"/>
      <c r="R10" s="1"/>
      <c r="S10" s="1"/>
      <c r="T10" s="1"/>
      <c r="U10" s="1"/>
      <c r="W10" s="1">
        <v>3.3</v>
      </c>
    </row>
    <row r="11" spans="1:23" ht="16" x14ac:dyDescent="0.2">
      <c r="A11" s="15" t="s">
        <v>1311</v>
      </c>
      <c r="B11" s="16" t="s">
        <v>1313</v>
      </c>
      <c r="I11" s="1"/>
      <c r="J11" s="1"/>
      <c r="K11" s="1">
        <v>6</v>
      </c>
      <c r="N11" s="1"/>
      <c r="O11" s="1"/>
      <c r="P11" s="1"/>
      <c r="Q11" s="1"/>
      <c r="R11" s="1"/>
      <c r="S11" s="1"/>
      <c r="T11" s="1"/>
      <c r="U11" s="1"/>
      <c r="V11" s="1">
        <v>6</v>
      </c>
      <c r="W11" s="4"/>
    </row>
    <row r="12" spans="1:23" ht="16" x14ac:dyDescent="0.2">
      <c r="A12" s="15" t="s">
        <v>1312</v>
      </c>
      <c r="B12" s="16" t="s">
        <v>1314</v>
      </c>
      <c r="I12" s="1"/>
      <c r="J12" s="1"/>
      <c r="K12" s="1">
        <v>5.2</v>
      </c>
      <c r="L12" s="1">
        <v>2.2999999999999998</v>
      </c>
      <c r="N12" s="1"/>
      <c r="O12" s="1"/>
      <c r="P12" s="1"/>
      <c r="Q12" s="1"/>
      <c r="R12" s="1"/>
      <c r="S12" s="1"/>
      <c r="T12" s="1"/>
      <c r="U12" s="1"/>
      <c r="V12" s="1">
        <v>5.2</v>
      </c>
      <c r="W12" s="1">
        <f>(L12*0.25)+L12</f>
        <v>2.875</v>
      </c>
    </row>
    <row r="13" spans="1:23" ht="16" x14ac:dyDescent="0.2">
      <c r="A13" s="15" t="s">
        <v>1315</v>
      </c>
      <c r="B13" s="16" t="s">
        <v>1316</v>
      </c>
      <c r="G13" s="1">
        <v>1</v>
      </c>
      <c r="H13" s="1">
        <v>2</v>
      </c>
      <c r="I13" s="1">
        <v>2</v>
      </c>
      <c r="J13" s="1">
        <v>2.2000000000000002</v>
      </c>
      <c r="K13" s="1">
        <v>4.8</v>
      </c>
      <c r="L13" s="1">
        <v>4.4000000000000004</v>
      </c>
      <c r="N13" s="1"/>
      <c r="O13" s="1"/>
      <c r="P13" s="1"/>
      <c r="Q13" s="1"/>
      <c r="R13" s="1">
        <v>1</v>
      </c>
      <c r="S13" s="1">
        <f>(H13*0.25)+H13</f>
        <v>2.5</v>
      </c>
      <c r="T13" s="1">
        <f>(I13*0.5)+I13</f>
        <v>3</v>
      </c>
      <c r="U13" s="1">
        <f>(J13*0.75)+J13</f>
        <v>3.8500000000000005</v>
      </c>
      <c r="V13" s="1">
        <f>(K13*1)+K13</f>
        <v>9.6</v>
      </c>
      <c r="W13" s="1">
        <f>(L13*1.25)+L13</f>
        <v>9.9</v>
      </c>
    </row>
    <row r="14" spans="1:23" ht="16" x14ac:dyDescent="0.2">
      <c r="A14" s="8" t="s">
        <v>1309</v>
      </c>
      <c r="B14" s="16" t="s">
        <v>1310</v>
      </c>
      <c r="I14" s="1"/>
      <c r="J14" s="1">
        <v>1.1000000000000001</v>
      </c>
      <c r="K14" s="1">
        <v>3.7</v>
      </c>
      <c r="L14" s="1">
        <v>6.8</v>
      </c>
      <c r="N14" s="1"/>
      <c r="O14" s="1"/>
      <c r="P14" s="1"/>
      <c r="Q14" s="1"/>
      <c r="R14" s="1"/>
      <c r="S14" s="1"/>
      <c r="T14" s="1"/>
      <c r="U14" s="1">
        <v>1.1000000000000001</v>
      </c>
      <c r="V14" s="1">
        <f>(K14*0.25)+K14</f>
        <v>4.625</v>
      </c>
      <c r="W14" s="1">
        <f>(L14*0.5)+L14</f>
        <v>10.199999999999999</v>
      </c>
    </row>
    <row r="15" spans="1:23" x14ac:dyDescent="0.2">
      <c r="M15" s="3" t="s">
        <v>14</v>
      </c>
      <c r="N15" s="1">
        <f>SUM(N2:N14)</f>
        <v>98.800000000000011</v>
      </c>
      <c r="O15" s="1">
        <f t="shared" ref="O15:W15" si="8">SUM(O2:O14)</f>
        <v>115.5</v>
      </c>
      <c r="P15" s="1">
        <f t="shared" si="8"/>
        <v>144.565</v>
      </c>
      <c r="Q15" s="1">
        <f t="shared" si="8"/>
        <v>164.73</v>
      </c>
      <c r="R15" s="1">
        <f t="shared" si="8"/>
        <v>185.79999999999995</v>
      </c>
      <c r="S15" s="1">
        <f t="shared" si="8"/>
        <v>207.5</v>
      </c>
      <c r="T15" s="1">
        <f t="shared" si="8"/>
        <v>227.29000000000002</v>
      </c>
      <c r="U15" s="1">
        <f t="shared" si="8"/>
        <v>257.41500000000002</v>
      </c>
      <c r="V15" s="1">
        <f t="shared" si="8"/>
        <v>252.86999999999998</v>
      </c>
      <c r="W15" s="1">
        <f t="shared" si="8"/>
        <v>250.29499999999999</v>
      </c>
    </row>
    <row r="17" spans="1:23" x14ac:dyDescent="0.2">
      <c r="N17" s="1">
        <v>100</v>
      </c>
      <c r="O17" s="1">
        <v>125</v>
      </c>
      <c r="P17" s="1">
        <v>145</v>
      </c>
      <c r="Q17" s="1">
        <v>170</v>
      </c>
      <c r="R17" s="1">
        <v>195</v>
      </c>
      <c r="S17" s="1">
        <v>220</v>
      </c>
      <c r="T17" s="1">
        <v>245</v>
      </c>
      <c r="U17" s="1">
        <v>270</v>
      </c>
      <c r="V17" s="1">
        <v>295</v>
      </c>
      <c r="W17" s="1">
        <v>320</v>
      </c>
    </row>
    <row r="19" spans="1:23" x14ac:dyDescent="0.2">
      <c r="N19" s="1">
        <f>N15</f>
        <v>98.800000000000011</v>
      </c>
      <c r="O19" s="1">
        <f>SUM(N19+O15)</f>
        <v>214.3</v>
      </c>
      <c r="P19" s="1">
        <f>SUM(O19+P15)</f>
        <v>358.86500000000001</v>
      </c>
      <c r="Q19" s="1">
        <f>SUM(P19+Q15)</f>
        <v>523.59500000000003</v>
      </c>
      <c r="R19" s="1">
        <f t="shared" ref="R19:W19" si="9">SUM(Q19+R15)</f>
        <v>709.39499999999998</v>
      </c>
      <c r="S19" s="1">
        <f t="shared" si="9"/>
        <v>916.89499999999998</v>
      </c>
      <c r="T19" s="1">
        <f t="shared" si="9"/>
        <v>1144.1849999999999</v>
      </c>
      <c r="U19" s="1">
        <f t="shared" si="9"/>
        <v>1401.6</v>
      </c>
      <c r="V19" s="1">
        <f t="shared" si="9"/>
        <v>1654.4699999999998</v>
      </c>
      <c r="W19" s="1">
        <f t="shared" si="9"/>
        <v>1904.7649999999999</v>
      </c>
    </row>
    <row r="20" spans="1:23" x14ac:dyDescent="0.2">
      <c r="N20" s="3"/>
      <c r="O20" s="3"/>
      <c r="P20" s="3"/>
      <c r="Q20" s="3"/>
      <c r="R20" s="3"/>
      <c r="S20" s="3"/>
      <c r="T20" s="3"/>
    </row>
    <row r="21" spans="1:23" x14ac:dyDescent="0.2">
      <c r="N21" s="1">
        <v>100</v>
      </c>
      <c r="O21" s="1">
        <f>SUM(N21+O17)</f>
        <v>225</v>
      </c>
      <c r="P21" s="1">
        <f>SUM(O21+P17)</f>
        <v>370</v>
      </c>
      <c r="Q21" s="1">
        <f>SUM(P21+Q17)</f>
        <v>540</v>
      </c>
      <c r="R21" s="1">
        <f t="shared" ref="R21:W21" si="10">SUM(Q21+R17)</f>
        <v>735</v>
      </c>
      <c r="S21" s="1">
        <f t="shared" si="10"/>
        <v>955</v>
      </c>
      <c r="T21" s="1">
        <f t="shared" si="10"/>
        <v>1200</v>
      </c>
      <c r="U21" s="1">
        <f t="shared" si="10"/>
        <v>1470</v>
      </c>
      <c r="V21" s="1">
        <f t="shared" si="10"/>
        <v>1765</v>
      </c>
      <c r="W21" s="1">
        <f t="shared" si="10"/>
        <v>2085</v>
      </c>
    </row>
    <row r="22" spans="1:23" ht="16" x14ac:dyDescent="0.2">
      <c r="A22" s="15"/>
      <c r="B22" s="15"/>
    </row>
    <row r="23" spans="1:23" ht="16" x14ac:dyDescent="0.2">
      <c r="A23" s="15"/>
      <c r="B23" s="15"/>
      <c r="N23" s="4" t="s">
        <v>1563</v>
      </c>
      <c r="O23" s="4" t="s">
        <v>1563</v>
      </c>
      <c r="P23" s="4" t="s">
        <v>1563</v>
      </c>
      <c r="Q23" s="4" t="s">
        <v>1563</v>
      </c>
      <c r="R23" s="4" t="s">
        <v>1563</v>
      </c>
      <c r="S23" s="4" t="s">
        <v>1563</v>
      </c>
      <c r="T23" s="4" t="s">
        <v>1563</v>
      </c>
      <c r="U23" s="4" t="s">
        <v>1563</v>
      </c>
      <c r="V23" s="4" t="s">
        <v>1563</v>
      </c>
      <c r="W23" s="4" t="s">
        <v>1563</v>
      </c>
    </row>
    <row r="24" spans="1:23" ht="16" x14ac:dyDescent="0.2">
      <c r="A24" s="23"/>
      <c r="B24" s="23"/>
      <c r="N24" s="6">
        <f>(N19/N21)*100</f>
        <v>98.800000000000011</v>
      </c>
      <c r="O24" s="6">
        <f>(O19/O21)*100</f>
        <v>95.244444444444454</v>
      </c>
      <c r="P24" s="6">
        <f>(P19/P21)*100</f>
        <v>96.99054054054055</v>
      </c>
      <c r="Q24" s="6">
        <f>(Q19/Q21)*100</f>
        <v>96.962037037037035</v>
      </c>
      <c r="R24" s="6">
        <f t="shared" ref="R24:W24" si="11">(R19/R21)*100</f>
        <v>96.516326530612247</v>
      </c>
      <c r="S24" s="6">
        <f t="shared" si="11"/>
        <v>96.009947643979061</v>
      </c>
      <c r="T24" s="6">
        <f t="shared" si="11"/>
        <v>95.348749999999995</v>
      </c>
      <c r="U24" s="6">
        <f t="shared" si="11"/>
        <v>95.346938775510196</v>
      </c>
      <c r="V24" s="6">
        <f t="shared" si="11"/>
        <v>93.737677053824356</v>
      </c>
      <c r="W24" s="6">
        <f t="shared" si="11"/>
        <v>91.355635491606719</v>
      </c>
    </row>
    <row r="25" spans="1:23" ht="16" x14ac:dyDescent="0.2">
      <c r="A25" s="23"/>
      <c r="B25" s="23"/>
    </row>
    <row r="26" spans="1:23" ht="16" x14ac:dyDescent="0.2">
      <c r="A26" s="23"/>
      <c r="B26" s="23"/>
    </row>
    <row r="27" spans="1:23" ht="16" x14ac:dyDescent="0.2">
      <c r="A27" s="23"/>
      <c r="B27" s="23"/>
    </row>
    <row r="28" spans="1:23" ht="16" x14ac:dyDescent="0.2">
      <c r="A28" s="23"/>
      <c r="B28" s="23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Albania</vt:lpstr>
      <vt:lpstr>Andorra</vt:lpstr>
      <vt:lpstr>Armenia II</vt:lpstr>
      <vt:lpstr>Austria I</vt:lpstr>
      <vt:lpstr>Austria II</vt:lpstr>
      <vt:lpstr>Belgium</vt:lpstr>
      <vt:lpstr>Bulgaria</vt:lpstr>
      <vt:lpstr>Croatia</vt:lpstr>
      <vt:lpstr>Cyprus</vt:lpstr>
      <vt:lpstr>Czechoslovakia I</vt:lpstr>
      <vt:lpstr>Czechoslovakia II</vt:lpstr>
      <vt:lpstr>Czechia</vt:lpstr>
      <vt:lpstr>Denmark</vt:lpstr>
      <vt:lpstr>Estonia I</vt:lpstr>
      <vt:lpstr>Estonia II</vt:lpstr>
      <vt:lpstr>Finland I</vt:lpstr>
      <vt:lpstr>Finland II</vt:lpstr>
      <vt:lpstr>France I</vt:lpstr>
      <vt:lpstr>France II</vt:lpstr>
      <vt:lpstr>France III</vt:lpstr>
      <vt:lpstr>France IV</vt:lpstr>
      <vt:lpstr>Georgia</vt:lpstr>
      <vt:lpstr>Germany I</vt:lpstr>
      <vt:lpstr>Germany II</vt:lpstr>
      <vt:lpstr>Greece II</vt:lpstr>
      <vt:lpstr>Greece III</vt:lpstr>
      <vt:lpstr>Greece IV</vt:lpstr>
      <vt:lpstr>Hungary</vt:lpstr>
      <vt:lpstr>Iceland</vt:lpstr>
      <vt:lpstr>Ireland</vt:lpstr>
      <vt:lpstr>Italy</vt:lpstr>
      <vt:lpstr>Kosovo</vt:lpstr>
      <vt:lpstr>Latvia I</vt:lpstr>
      <vt:lpstr>Latvia II</vt:lpstr>
      <vt:lpstr>Liechtenstein</vt:lpstr>
      <vt:lpstr>Lithuania</vt:lpstr>
      <vt:lpstr>Luxembourg</vt:lpstr>
      <vt:lpstr>Malta</vt:lpstr>
      <vt:lpstr>Moldova</vt:lpstr>
      <vt:lpstr>Montenegro</vt:lpstr>
      <vt:lpstr>Netherlands</vt:lpstr>
      <vt:lpstr>North Macedonia</vt:lpstr>
      <vt:lpstr>Norway</vt:lpstr>
      <vt:lpstr>Poland I</vt:lpstr>
      <vt:lpstr>Poland II</vt:lpstr>
      <vt:lpstr>Portugal II</vt:lpstr>
      <vt:lpstr>Romania</vt:lpstr>
      <vt:lpstr>Russia</vt:lpstr>
      <vt:lpstr>San Marino I</vt:lpstr>
      <vt:lpstr>San Marino II</vt:lpstr>
      <vt:lpstr>Serbia</vt:lpstr>
      <vt:lpstr>Slovakia</vt:lpstr>
      <vt:lpstr>Slovenia</vt:lpstr>
      <vt:lpstr>Spain II</vt:lpstr>
      <vt:lpstr>Spain III</vt:lpstr>
      <vt:lpstr>Sweden</vt:lpstr>
      <vt:lpstr>Switzerland</vt:lpstr>
      <vt:lpstr>Turkey I</vt:lpstr>
      <vt:lpstr>Turkey II</vt:lpstr>
      <vt:lpstr>Turkey III</vt:lpstr>
      <vt:lpstr>Ukraine</vt:lpstr>
      <vt:lpstr>United Kingdom</vt:lpstr>
      <vt:lpstr>Yugoslav 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 Casal Bertoa (staff)</cp:lastModifiedBy>
  <dcterms:created xsi:type="dcterms:W3CDTF">2013-01-29T11:55:48Z</dcterms:created>
  <dcterms:modified xsi:type="dcterms:W3CDTF">2025-02-16T01:10:24Z</dcterms:modified>
</cp:coreProperties>
</file>